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15195" windowHeight="8445" activeTab="0"/>
  </bookViews>
  <sheets>
    <sheet name="Executive Summary" sheetId="1" r:id="rId1"/>
    <sheet name="Assumptions" sheetId="2" r:id="rId2"/>
    <sheet name="Capital Investment" sheetId="3" r:id="rId3"/>
    <sheet name="Net Revenue Benefits and Costs" sheetId="4" r:id="rId4"/>
    <sheet name="Profit and Loss" sheetId="5" r:id="rId5"/>
    <sheet name="Cash Flow" sheetId="6" r:id="rId6"/>
    <sheet name="Tax and Depreciation" sheetId="7" r:id="rId7"/>
  </sheets>
  <definedNames/>
  <calcPr fullCalcOnLoad="1"/>
</workbook>
</file>

<file path=xl/sharedStrings.xml><?xml version="1.0" encoding="utf-8"?>
<sst xmlns="http://schemas.openxmlformats.org/spreadsheetml/2006/main" count="233" uniqueCount="109">
  <si>
    <t>Year</t>
  </si>
  <si>
    <t>Sub Total</t>
  </si>
  <si>
    <t>% project maturity</t>
  </si>
  <si>
    <t>Depreciation</t>
  </si>
  <si>
    <t>Operating Profit</t>
  </si>
  <si>
    <t>Interest charges</t>
  </si>
  <si>
    <t>Tax</t>
  </si>
  <si>
    <t>Net Profit</t>
  </si>
  <si>
    <t>Cost of capital</t>
  </si>
  <si>
    <t>Net Present Value</t>
  </si>
  <si>
    <t>IRR</t>
  </si>
  <si>
    <t>Discounted Payback</t>
  </si>
  <si>
    <t>Capital Investment</t>
  </si>
  <si>
    <t>Capital investment</t>
  </si>
  <si>
    <t>WDA</t>
  </si>
  <si>
    <t>Opening written down value</t>
  </si>
  <si>
    <t>Closing written down value</t>
  </si>
  <si>
    <t>Opening Fixed Assets</t>
  </si>
  <si>
    <t>Closing Fixed Assets</t>
  </si>
  <si>
    <t>At</t>
  </si>
  <si>
    <t>maturity</t>
  </si>
  <si>
    <t>Depreciated over 10 years</t>
  </si>
  <si>
    <t>Depreciated over 7 years</t>
  </si>
  <si>
    <t>Depreciated over 5 years</t>
  </si>
  <si>
    <t>Depreciated over 3 years</t>
  </si>
  <si>
    <t>Total - 10 years</t>
  </si>
  <si>
    <t>Total - 5 years</t>
  </si>
  <si>
    <t>Total - 3 years</t>
  </si>
  <si>
    <t>Total Capital Investment</t>
  </si>
  <si>
    <t>New Depreciation</t>
  </si>
  <si>
    <t>Closing Depreciation</t>
  </si>
  <si>
    <t>10 year life</t>
  </si>
  <si>
    <t>7 year life</t>
  </si>
  <si>
    <t>5 year life</t>
  </si>
  <si>
    <t>3 year life</t>
  </si>
  <si>
    <t>Tax rate</t>
  </si>
  <si>
    <t>Net cash flow</t>
  </si>
  <si>
    <t>Discounted cash flow</t>
  </si>
  <si>
    <t>NPV</t>
  </si>
  <si>
    <t>Interest rate</t>
  </si>
  <si>
    <t>Interest (charge)/credit</t>
  </si>
  <si>
    <t>Payback calculation</t>
  </si>
  <si>
    <t>Payback</t>
  </si>
  <si>
    <t>years</t>
  </si>
  <si>
    <t>over 10 years</t>
  </si>
  <si>
    <t>Net Capital Investment</t>
  </si>
  <si>
    <t>Discounted Capital Investment</t>
  </si>
  <si>
    <t>Profit before interest</t>
  </si>
  <si>
    <t>Discounted PBI</t>
  </si>
  <si>
    <t>Discounted Payback Calculation</t>
  </si>
  <si>
    <t>Actual</t>
  </si>
  <si>
    <t>Hurdle rate</t>
  </si>
  <si>
    <t>Discounted payback period</t>
  </si>
  <si>
    <t xml:space="preserve">Project </t>
  </si>
  <si>
    <t xml:space="preserve">Operating Profit / (Loss) </t>
  </si>
  <si>
    <t>(First full year)</t>
  </si>
  <si>
    <t>Operating Profit excl Depreciation</t>
  </si>
  <si>
    <t>benefit 1</t>
  </si>
  <si>
    <t>benefit 2</t>
  </si>
  <si>
    <t>benefit 3</t>
  </si>
  <si>
    <t>benefit 4</t>
  </si>
  <si>
    <t>benefit 5</t>
  </si>
  <si>
    <t>benefit 6</t>
  </si>
  <si>
    <t>capital 1</t>
  </si>
  <si>
    <t>capital 2</t>
  </si>
  <si>
    <t>capital 3</t>
  </si>
  <si>
    <t>capital 4</t>
  </si>
  <si>
    <t>capital 5</t>
  </si>
  <si>
    <t>capital 6</t>
  </si>
  <si>
    <t>capital 7</t>
  </si>
  <si>
    <t>capital 8</t>
  </si>
  <si>
    <t>Total - 7 years</t>
  </si>
  <si>
    <t>Revenue benefits (e.g. Energy Saving)</t>
  </si>
  <si>
    <t>Revenue costs (e.g. Maintenance Costs)</t>
  </si>
  <si>
    <t>Our product A</t>
  </si>
  <si>
    <t>Our product B</t>
  </si>
  <si>
    <t>Our product C</t>
  </si>
  <si>
    <t>Our product D</t>
  </si>
  <si>
    <t>Competitive product A</t>
  </si>
  <si>
    <t>Competitive product B</t>
  </si>
  <si>
    <t>Competitive product C</t>
  </si>
  <si>
    <t>Competitive product D</t>
  </si>
  <si>
    <t>Our product E</t>
  </si>
  <si>
    <t>Competitive product E</t>
  </si>
  <si>
    <t>Competitive product F</t>
  </si>
  <si>
    <t>Executive Summary</t>
  </si>
  <si>
    <t>Assumptions</t>
  </si>
  <si>
    <t>Profit and Loss</t>
  </si>
  <si>
    <t>Cashflow</t>
  </si>
  <si>
    <t>Tax and Depreciation</t>
  </si>
  <si>
    <t>Competing product A</t>
  </si>
  <si>
    <t>estimated annual cost</t>
  </si>
  <si>
    <t>Net benefit</t>
  </si>
  <si>
    <t>Our product F</t>
  </si>
  <si>
    <t>Competing product B</t>
  </si>
  <si>
    <t>Competing product C</t>
  </si>
  <si>
    <t>Competing product D</t>
  </si>
  <si>
    <t>Net cost saving</t>
  </si>
  <si>
    <t>Competing product E</t>
  </si>
  <si>
    <t>Competing product F</t>
  </si>
  <si>
    <t>periodic maintenance 1</t>
  </si>
  <si>
    <t>other periodic cost 2</t>
  </si>
  <si>
    <t>other periodic cost 3</t>
  </si>
  <si>
    <t>other periodic cost 4</t>
  </si>
  <si>
    <t>other periodic cost 5</t>
  </si>
  <si>
    <t>other periodic cost 6</t>
  </si>
  <si>
    <t>cost saving</t>
  </si>
  <si>
    <t>Calculation of net revenue benefits and costs</t>
  </si>
  <si>
    <t xml:space="preserve">Year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</si>
</sst>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.0"/>
    <numFmt numFmtId="166" formatCode="[$-809]dd\ mmmm\ yyyy"/>
    <numFmt numFmtId="167" formatCode="#,##0.0;[Red]\(#,##0.0\)"/>
    <numFmt numFmtId="168" formatCode="#,##0.00;[Red]\(#,##0.00\)"/>
    <numFmt numFmtId="169" formatCode="&quot;£&quot;#,##0"/>
    <numFmt numFmtId="170" formatCode="#,##0.00_ ;[Red]\-#,##0.00\ "/>
    <numFmt numFmtId="171" formatCode="#,##0_ ;[Red]\-#,##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9" fontId="0" fillId="2" borderId="0" xfId="19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9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4" borderId="0" xfId="0" applyNumberFormat="1" applyFill="1" applyAlignment="1">
      <alignment/>
    </xf>
    <xf numFmtId="9" fontId="0" fillId="4" borderId="0" xfId="19" applyNumberFormat="1" applyFill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38" fontId="0" fillId="2" borderId="0" xfId="0" applyNumberFormat="1" applyFill="1" applyAlignment="1">
      <alignment/>
    </xf>
    <xf numFmtId="38" fontId="0" fillId="4" borderId="0" xfId="0" applyNumberFormat="1" applyFill="1" applyAlignment="1">
      <alignment/>
    </xf>
    <xf numFmtId="1" fontId="0" fillId="4" borderId="0" xfId="19" applyNumberFormat="1" applyFill="1" applyAlignment="1">
      <alignment/>
    </xf>
    <xf numFmtId="9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169" fontId="2" fillId="4" borderId="0" xfId="0" applyNumberFormat="1" applyFont="1" applyFill="1" applyAlignment="1">
      <alignment/>
    </xf>
    <xf numFmtId="9" fontId="2" fillId="4" borderId="0" xfId="0" applyNumberFormat="1" applyFont="1" applyFill="1" applyAlignment="1">
      <alignment/>
    </xf>
    <xf numFmtId="42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1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8.00390625" style="0" bestFit="1" customWidth="1"/>
    <col min="3" max="3" width="12.00390625" style="0" bestFit="1" customWidth="1"/>
    <col min="5" max="5" width="11.140625" style="0" bestFit="1" customWidth="1"/>
  </cols>
  <sheetData>
    <row r="1" ht="15.75">
      <c r="A1" s="10" t="s">
        <v>85</v>
      </c>
    </row>
    <row r="3" spans="1:5" ht="19.5" customHeight="1">
      <c r="A3" s="27" t="s">
        <v>53</v>
      </c>
      <c r="B3" s="27" t="s">
        <v>50</v>
      </c>
      <c r="C3" s="4"/>
      <c r="D3" s="4"/>
      <c r="E3" s="27" t="s">
        <v>51</v>
      </c>
    </row>
    <row r="4" ht="19.5" customHeight="1">
      <c r="A4" s="4"/>
    </row>
    <row r="5" spans="1:6" ht="19.5" customHeight="1">
      <c r="A5" s="27" t="s">
        <v>9</v>
      </c>
      <c r="B5" s="28">
        <f>'Cash Flow'!E21</f>
        <v>23861.379163260506</v>
      </c>
      <c r="E5" s="30">
        <v>0</v>
      </c>
      <c r="F5" s="4"/>
    </row>
    <row r="6" spans="1:6" ht="19.5" customHeight="1">
      <c r="A6" s="4"/>
      <c r="E6" s="4"/>
      <c r="F6" s="4"/>
    </row>
    <row r="7" spans="1:6" ht="19.5" customHeight="1">
      <c r="A7" s="27" t="s">
        <v>10</v>
      </c>
      <c r="B7" s="29">
        <f>'Cash Flow'!E23</f>
        <v>1.0222712565185965</v>
      </c>
      <c r="E7" s="29">
        <f>Assumptions!C4</f>
        <v>0.08</v>
      </c>
      <c r="F7" s="4"/>
    </row>
    <row r="8" spans="1:6" ht="19.5" customHeight="1">
      <c r="A8" s="4"/>
      <c r="E8" s="4"/>
      <c r="F8" s="4"/>
    </row>
    <row r="9" spans="1:6" ht="19.5" customHeight="1">
      <c r="A9" s="27" t="s">
        <v>11</v>
      </c>
      <c r="B9" s="27">
        <f>'Cash Flow'!E43</f>
        <v>3</v>
      </c>
      <c r="C9" s="13" t="s">
        <v>43</v>
      </c>
      <c r="E9" s="27">
        <f>Assumptions!C18</f>
        <v>3</v>
      </c>
      <c r="F9" s="27" t="s">
        <v>43</v>
      </c>
    </row>
    <row r="10" spans="1:6" ht="19.5" customHeight="1">
      <c r="A10" s="4"/>
      <c r="E10" s="4"/>
      <c r="F10" s="4"/>
    </row>
    <row r="11" spans="1:6" ht="19.5" customHeight="1">
      <c r="A11" s="27" t="s">
        <v>54</v>
      </c>
      <c r="B11" s="30">
        <f>HLOOKUP(Assumptions!C11,'Profit and Loss'!E9:N38,30,FALSE)</f>
        <v>3753.333333333333</v>
      </c>
      <c r="E11" s="4"/>
      <c r="F11" s="4"/>
    </row>
    <row r="12" spans="1:6" ht="19.5" customHeight="1">
      <c r="A12" s="27" t="s">
        <v>55</v>
      </c>
      <c r="E12" s="4"/>
      <c r="F12" s="4"/>
    </row>
    <row r="13" spans="1:6" ht="19.5" customHeight="1">
      <c r="A13" s="4"/>
      <c r="E13" s="4"/>
      <c r="F13" s="4"/>
    </row>
    <row r="14" spans="1:7" ht="19.5" customHeight="1">
      <c r="A14" s="27" t="s">
        <v>45</v>
      </c>
      <c r="B14" s="28">
        <f>-SUM('Cash Flow'!E10:N10)</f>
        <v>11800</v>
      </c>
      <c r="C14" s="13" t="s">
        <v>44</v>
      </c>
      <c r="E14" s="4"/>
      <c r="F14" s="4"/>
      <c r="G14" s="16"/>
    </row>
    <row r="16" ht="12.75">
      <c r="A1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8"/>
  <sheetViews>
    <sheetView workbookViewId="0" topLeftCell="A1">
      <selection activeCell="H14" sqref="H14"/>
    </sheetView>
  </sheetViews>
  <sheetFormatPr defaultColWidth="9.140625" defaultRowHeight="12.75"/>
  <cols>
    <col min="1" max="1" width="23.8515625" style="0" bestFit="1" customWidth="1"/>
  </cols>
  <sheetData>
    <row r="1" ht="19.5" customHeight="1">
      <c r="A1" s="10" t="s">
        <v>86</v>
      </c>
    </row>
    <row r="2" ht="19.5" customHeight="1"/>
    <row r="3" ht="19.5" customHeight="1">
      <c r="J3" s="16"/>
    </row>
    <row r="4" spans="1:9" ht="19.5" customHeight="1">
      <c r="A4" t="s">
        <v>8</v>
      </c>
      <c r="C4" s="6">
        <v>0.08</v>
      </c>
      <c r="I4" s="16"/>
    </row>
    <row r="5" ht="19.5" customHeight="1"/>
    <row r="6" spans="5:14" ht="19.5" customHeight="1"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 t="s">
        <v>0</v>
      </c>
      <c r="K6" s="13" t="s">
        <v>0</v>
      </c>
      <c r="L6" s="13" t="s">
        <v>0</v>
      </c>
      <c r="M6" s="13" t="s">
        <v>0</v>
      </c>
      <c r="N6" s="13" t="s">
        <v>0</v>
      </c>
    </row>
    <row r="7" spans="5:14" ht="19.5" customHeight="1">
      <c r="E7" s="14">
        <v>1</v>
      </c>
      <c r="F7" s="14">
        <f>E7+1</f>
        <v>2</v>
      </c>
      <c r="G7" s="14">
        <f aca="true" t="shared" si="0" ref="G7:N7">F7+1</f>
        <v>3</v>
      </c>
      <c r="H7" s="14">
        <f t="shared" si="0"/>
        <v>4</v>
      </c>
      <c r="I7" s="14">
        <f t="shared" si="0"/>
        <v>5</v>
      </c>
      <c r="J7" s="14">
        <f t="shared" si="0"/>
        <v>6</v>
      </c>
      <c r="K7" s="14">
        <f t="shared" si="0"/>
        <v>7</v>
      </c>
      <c r="L7" s="14">
        <f t="shared" si="0"/>
        <v>8</v>
      </c>
      <c r="M7" s="14">
        <f t="shared" si="0"/>
        <v>9</v>
      </c>
      <c r="N7" s="14">
        <f t="shared" si="0"/>
        <v>10</v>
      </c>
    </row>
    <row r="8" spans="5:14" ht="19.5" customHeight="1"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9.5" customHeight="1">
      <c r="A9" t="s">
        <v>108</v>
      </c>
      <c r="E9" s="9">
        <v>2007</v>
      </c>
      <c r="F9" s="9">
        <v>2008</v>
      </c>
      <c r="G9" s="9">
        <v>2009</v>
      </c>
      <c r="H9" s="9">
        <v>2010</v>
      </c>
      <c r="I9" s="9">
        <v>2011</v>
      </c>
      <c r="J9" s="9">
        <v>2012</v>
      </c>
      <c r="K9" s="9">
        <v>2013</v>
      </c>
      <c r="L9" s="9">
        <v>2014</v>
      </c>
      <c r="M9" s="9">
        <v>2015</v>
      </c>
      <c r="N9" s="9">
        <v>2016</v>
      </c>
    </row>
    <row r="10" ht="19.5" customHeight="1"/>
    <row r="11" spans="1:15" ht="19.5" customHeight="1">
      <c r="A11" t="s">
        <v>2</v>
      </c>
      <c r="C11" s="12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1"/>
    </row>
    <row r="12" ht="19.5" customHeight="1"/>
    <row r="13" ht="19.5" customHeight="1"/>
    <row r="14" spans="1:3" ht="19.5" customHeight="1">
      <c r="A14" t="s">
        <v>35</v>
      </c>
      <c r="C14" s="6">
        <v>0.3</v>
      </c>
    </row>
    <row r="15" ht="19.5" customHeight="1"/>
    <row r="16" spans="1:3" ht="19.5" customHeight="1">
      <c r="A16" t="s">
        <v>39</v>
      </c>
      <c r="C16" s="6">
        <v>0.06</v>
      </c>
    </row>
    <row r="17" ht="19.5" customHeight="1"/>
    <row r="18" spans="1:4" ht="19.5" customHeight="1">
      <c r="A18" t="s">
        <v>52</v>
      </c>
      <c r="C18" s="7">
        <v>3</v>
      </c>
      <c r="D18" s="11" t="s">
        <v>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65"/>
  <sheetViews>
    <sheetView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66" sqref="P66"/>
    </sheetView>
  </sheetViews>
  <sheetFormatPr defaultColWidth="9.140625" defaultRowHeight="12.75"/>
  <cols>
    <col min="2" max="2" width="11.28125" style="0" customWidth="1"/>
  </cols>
  <sheetData>
    <row r="1" ht="15.75">
      <c r="A1" s="10" t="s">
        <v>12</v>
      </c>
    </row>
    <row r="3" spans="5:14" ht="12.75"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</row>
    <row r="4" spans="5:14" ht="12.75">
      <c r="E4" s="14">
        <v>1</v>
      </c>
      <c r="F4" s="14">
        <f>E4+1</f>
        <v>2</v>
      </c>
      <c r="G4" s="14">
        <f aca="true" t="shared" si="0" ref="G4:N4">F4+1</f>
        <v>3</v>
      </c>
      <c r="H4" s="14">
        <f t="shared" si="0"/>
        <v>4</v>
      </c>
      <c r="I4" s="14">
        <f t="shared" si="0"/>
        <v>5</v>
      </c>
      <c r="J4" s="14">
        <f t="shared" si="0"/>
        <v>6</v>
      </c>
      <c r="K4" s="14">
        <f t="shared" si="0"/>
        <v>7</v>
      </c>
      <c r="L4" s="14">
        <f>K4+1</f>
        <v>8</v>
      </c>
      <c r="M4" s="14">
        <f t="shared" si="0"/>
        <v>9</v>
      </c>
      <c r="N4" s="14">
        <f t="shared" si="0"/>
        <v>10</v>
      </c>
    </row>
    <row r="5" spans="5:14" ht="12.75"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4"/>
      <c r="E6" s="14">
        <f>Assumptions!E9</f>
        <v>2007</v>
      </c>
      <c r="F6" s="14">
        <f>Assumptions!F9</f>
        <v>2008</v>
      </c>
      <c r="G6" s="14">
        <f>Assumptions!G9</f>
        <v>2009</v>
      </c>
      <c r="H6" s="14">
        <f>Assumptions!H9</f>
        <v>2010</v>
      </c>
      <c r="I6" s="14">
        <f>Assumptions!I9</f>
        <v>2011</v>
      </c>
      <c r="J6" s="14">
        <f>Assumptions!J9</f>
        <v>2012</v>
      </c>
      <c r="K6" s="14">
        <f>Assumptions!K9</f>
        <v>2013</v>
      </c>
      <c r="L6" s="14">
        <f>Assumptions!L9</f>
        <v>2014</v>
      </c>
      <c r="M6" s="14">
        <f>Assumptions!M9</f>
        <v>2015</v>
      </c>
      <c r="N6" s="14">
        <f>Assumptions!N9</f>
        <v>2016</v>
      </c>
    </row>
    <row r="8" spans="1:3" ht="12.75">
      <c r="A8" s="13" t="s">
        <v>21</v>
      </c>
      <c r="B8" s="13"/>
      <c r="C8" s="13"/>
    </row>
    <row r="10" spans="1:14" ht="12.75">
      <c r="A10" s="7" t="s">
        <v>74</v>
      </c>
      <c r="B10" s="7"/>
      <c r="C10" s="7" t="s">
        <v>63</v>
      </c>
      <c r="E10" s="8">
        <v>5000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7" t="s">
        <v>75</v>
      </c>
      <c r="B11" s="7"/>
      <c r="C11" s="7" t="s">
        <v>64</v>
      </c>
      <c r="E11" s="8">
        <v>2000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7" t="s">
        <v>76</v>
      </c>
      <c r="B12" s="7"/>
      <c r="C12" s="7" t="s">
        <v>65</v>
      </c>
      <c r="E12" s="8">
        <v>3000</v>
      </c>
      <c r="F12" s="8"/>
      <c r="G12" s="8"/>
      <c r="H12" s="8"/>
      <c r="I12" s="8"/>
      <c r="J12" s="8"/>
      <c r="K12" s="8"/>
      <c r="L12" s="8"/>
      <c r="M12" s="8"/>
      <c r="N12" s="8"/>
    </row>
    <row r="13" spans="1:16" ht="12.75">
      <c r="A13" s="7" t="s">
        <v>77</v>
      </c>
      <c r="B13" s="7"/>
      <c r="C13" s="7" t="s">
        <v>66</v>
      </c>
      <c r="E13" s="8">
        <v>800</v>
      </c>
      <c r="F13" s="8"/>
      <c r="G13" s="8"/>
      <c r="H13" s="8"/>
      <c r="I13" s="8"/>
      <c r="J13" s="8"/>
      <c r="K13" s="8"/>
      <c r="L13" s="8"/>
      <c r="M13" s="8"/>
      <c r="N13" s="8"/>
      <c r="P13" s="2"/>
    </row>
    <row r="14" spans="5:14" ht="12.75"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7" t="s">
        <v>78</v>
      </c>
      <c r="B15" s="7"/>
      <c r="C15" s="7" t="s">
        <v>67</v>
      </c>
      <c r="E15" s="8">
        <v>-4500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7" t="s">
        <v>79</v>
      </c>
      <c r="B16" s="7"/>
      <c r="C16" s="7" t="s">
        <v>68</v>
      </c>
      <c r="E16" s="8">
        <v>-1500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7" t="s">
        <v>80</v>
      </c>
      <c r="B17" s="7"/>
      <c r="C17" s="7" t="s">
        <v>69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7" t="s">
        <v>81</v>
      </c>
      <c r="B18" s="7"/>
      <c r="C18" s="7" t="s">
        <v>70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5:14" ht="12.75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13" t="s">
        <v>25</v>
      </c>
      <c r="C20" s="13"/>
      <c r="E20" s="17">
        <f>SUM(E10:E18)</f>
        <v>4800</v>
      </c>
      <c r="F20" s="17">
        <f aca="true" t="shared" si="1" ref="F20:N20">SUM(F10:F18)</f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</row>
    <row r="21" spans="5:14" ht="12.75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3" t="s">
        <v>22</v>
      </c>
      <c r="B22" s="13"/>
      <c r="C22" s="13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5:14" ht="12.75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7"/>
      <c r="B24" s="7"/>
      <c r="C24" s="7" t="s">
        <v>63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7"/>
      <c r="B25" s="7"/>
      <c r="C25" s="7" t="s">
        <v>64</v>
      </c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7"/>
      <c r="B26" s="7"/>
      <c r="C26" s="7" t="s">
        <v>65</v>
      </c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7"/>
      <c r="B27" s="7"/>
      <c r="C27" s="7" t="s">
        <v>66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7"/>
      <c r="B28" s="7"/>
      <c r="C28" s="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7"/>
      <c r="B29" s="7"/>
      <c r="C29" s="7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7"/>
      <c r="B30" s="7"/>
      <c r="C30" s="7" t="s">
        <v>68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7"/>
      <c r="B31" s="7"/>
      <c r="C31" s="7" t="s">
        <v>69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7"/>
      <c r="B32" s="7"/>
      <c r="C32" s="7" t="s">
        <v>70</v>
      </c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5:14" ht="12.75"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13" t="s">
        <v>71</v>
      </c>
      <c r="C34" s="13"/>
      <c r="E34" s="17">
        <f>SUM(E24:E32)</f>
        <v>0</v>
      </c>
      <c r="F34" s="17">
        <f aca="true" t="shared" si="2" ref="F34:N34">SUM(F24:F32)</f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17">
        <f t="shared" si="2"/>
        <v>0</v>
      </c>
      <c r="L34" s="17">
        <f t="shared" si="2"/>
        <v>0</v>
      </c>
      <c r="M34" s="17">
        <f t="shared" si="2"/>
        <v>0</v>
      </c>
      <c r="N34" s="17">
        <f t="shared" si="2"/>
        <v>0</v>
      </c>
    </row>
    <row r="35" spans="5:14" ht="12.75"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13" t="s">
        <v>23</v>
      </c>
      <c r="B36" s="13"/>
      <c r="C36" s="1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5:14" ht="12.75"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7" t="s">
        <v>82</v>
      </c>
      <c r="B38" s="7"/>
      <c r="C38" s="7" t="s">
        <v>63</v>
      </c>
      <c r="E38" s="8">
        <v>8000</v>
      </c>
      <c r="F38" s="8"/>
      <c r="G38" s="8"/>
      <c r="H38" s="8"/>
      <c r="I38" s="8"/>
      <c r="J38" s="8">
        <v>8000</v>
      </c>
      <c r="K38" s="8"/>
      <c r="L38" s="8"/>
      <c r="M38" s="8"/>
      <c r="N38" s="8"/>
    </row>
    <row r="39" spans="1:14" ht="12.75">
      <c r="A39" s="7"/>
      <c r="B39" s="7"/>
      <c r="C39" s="7" t="s">
        <v>64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7"/>
      <c r="B40" s="7"/>
      <c r="C40" s="7" t="s">
        <v>65</v>
      </c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7"/>
      <c r="B41" s="7"/>
      <c r="C41" s="7" t="s">
        <v>66</v>
      </c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7"/>
      <c r="B42" s="7"/>
      <c r="C42" s="7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7" t="s">
        <v>83</v>
      </c>
      <c r="B43" s="7"/>
      <c r="C43" s="7" t="s">
        <v>67</v>
      </c>
      <c r="E43" s="8">
        <v>-2500</v>
      </c>
      <c r="F43" s="8"/>
      <c r="G43" s="8"/>
      <c r="H43" s="8"/>
      <c r="I43" s="8"/>
      <c r="J43" s="8">
        <v>-2500</v>
      </c>
      <c r="K43" s="8"/>
      <c r="L43" s="8"/>
      <c r="M43" s="8"/>
      <c r="N43" s="8"/>
    </row>
    <row r="44" spans="1:14" ht="12.75">
      <c r="A44" s="7"/>
      <c r="B44" s="7"/>
      <c r="C44" s="7" t="s">
        <v>68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7"/>
      <c r="B45" s="7"/>
      <c r="C45" s="7" t="s">
        <v>69</v>
      </c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7"/>
      <c r="B46" s="7"/>
      <c r="C46" s="7" t="s">
        <v>70</v>
      </c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5:14" ht="12.75"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13" t="s">
        <v>26</v>
      </c>
      <c r="C48" s="13"/>
      <c r="E48" s="17">
        <f>SUM(E38:E46)</f>
        <v>5500</v>
      </c>
      <c r="F48" s="17">
        <f aca="true" t="shared" si="3" ref="F48:N48">SUM(F38:F46)</f>
        <v>0</v>
      </c>
      <c r="G48" s="17">
        <f t="shared" si="3"/>
        <v>0</v>
      </c>
      <c r="H48" s="17">
        <f t="shared" si="3"/>
        <v>0</v>
      </c>
      <c r="I48" s="17">
        <f t="shared" si="3"/>
        <v>0</v>
      </c>
      <c r="J48" s="17">
        <f t="shared" si="3"/>
        <v>5500</v>
      </c>
      <c r="K48" s="17">
        <f t="shared" si="3"/>
        <v>0</v>
      </c>
      <c r="L48" s="17">
        <f t="shared" si="3"/>
        <v>0</v>
      </c>
      <c r="M48" s="17">
        <f t="shared" si="3"/>
        <v>0</v>
      </c>
      <c r="N48" s="17">
        <f t="shared" si="3"/>
        <v>0</v>
      </c>
    </row>
    <row r="49" spans="5:14" ht="12.75"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3" t="s">
        <v>24</v>
      </c>
      <c r="B50" s="13"/>
      <c r="C50" s="1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5:14" ht="12.75"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7"/>
      <c r="B52" s="7"/>
      <c r="C52" s="7" t="s">
        <v>63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7"/>
      <c r="B53" s="7"/>
      <c r="C53" s="7" t="s">
        <v>64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7"/>
      <c r="B54" s="7"/>
      <c r="C54" s="7" t="s">
        <v>65</v>
      </c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/>
      <c r="B55" s="7"/>
      <c r="C55" s="7" t="s">
        <v>66</v>
      </c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7"/>
      <c r="B56" s="7"/>
      <c r="C56" s="7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7" t="s">
        <v>84</v>
      </c>
      <c r="B57" s="7"/>
      <c r="C57" s="7" t="s">
        <v>67</v>
      </c>
      <c r="E57" s="8">
        <v>-1000</v>
      </c>
      <c r="F57" s="8"/>
      <c r="G57" s="8"/>
      <c r="H57" s="8">
        <v>-1000</v>
      </c>
      <c r="I57" s="8"/>
      <c r="J57" s="8"/>
      <c r="K57" s="8">
        <v>-1000</v>
      </c>
      <c r="L57" s="8"/>
      <c r="M57" s="8"/>
      <c r="N57" s="8">
        <v>-1000</v>
      </c>
    </row>
    <row r="58" spans="1:14" ht="12.75">
      <c r="A58" s="7"/>
      <c r="B58" s="7"/>
      <c r="C58" s="7" t="s">
        <v>68</v>
      </c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7"/>
      <c r="B59" s="7"/>
      <c r="C59" s="7" t="s">
        <v>69</v>
      </c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7"/>
      <c r="B60" s="7"/>
      <c r="C60" s="7" t="s">
        <v>70</v>
      </c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5:14" ht="12.75"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13" t="s">
        <v>27</v>
      </c>
      <c r="C62" s="13"/>
      <c r="E62" s="17">
        <f>SUM(E52:E60)</f>
        <v>-1000</v>
      </c>
      <c r="F62" s="17">
        <f aca="true" t="shared" si="4" ref="F62:N62">SUM(F52:F60)</f>
        <v>0</v>
      </c>
      <c r="G62" s="17">
        <f t="shared" si="4"/>
        <v>0</v>
      </c>
      <c r="H62" s="17">
        <f t="shared" si="4"/>
        <v>-1000</v>
      </c>
      <c r="I62" s="17">
        <f t="shared" si="4"/>
        <v>0</v>
      </c>
      <c r="J62" s="17">
        <f t="shared" si="4"/>
        <v>0</v>
      </c>
      <c r="K62" s="17">
        <f t="shared" si="4"/>
        <v>-1000</v>
      </c>
      <c r="L62" s="17">
        <f t="shared" si="4"/>
        <v>0</v>
      </c>
      <c r="M62" s="17">
        <f t="shared" si="4"/>
        <v>0</v>
      </c>
      <c r="N62" s="17">
        <f t="shared" si="4"/>
        <v>-1000</v>
      </c>
    </row>
    <row r="63" spans="5:14" ht="12.75"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5:14" ht="12.75"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6" ht="12.75">
      <c r="A65" s="13" t="s">
        <v>28</v>
      </c>
      <c r="B65" s="13"/>
      <c r="C65" s="13"/>
      <c r="E65" s="17">
        <f>SUM(E10:E62)/2</f>
        <v>9300</v>
      </c>
      <c r="F65" s="17">
        <f aca="true" t="shared" si="5" ref="F65:N65">SUM(F10:F62)/2</f>
        <v>0</v>
      </c>
      <c r="G65" s="17">
        <f t="shared" si="5"/>
        <v>0</v>
      </c>
      <c r="H65" s="17">
        <f t="shared" si="5"/>
        <v>-1000</v>
      </c>
      <c r="I65" s="17">
        <f t="shared" si="5"/>
        <v>0</v>
      </c>
      <c r="J65" s="17">
        <f t="shared" si="5"/>
        <v>5500</v>
      </c>
      <c r="K65" s="17">
        <f t="shared" si="5"/>
        <v>-1000</v>
      </c>
      <c r="L65" s="17">
        <f t="shared" si="5"/>
        <v>0</v>
      </c>
      <c r="M65" s="17">
        <f t="shared" si="5"/>
        <v>0</v>
      </c>
      <c r="N65" s="17">
        <f t="shared" si="5"/>
        <v>-1000</v>
      </c>
      <c r="P65" s="2"/>
    </row>
  </sheetData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62"/>
  <sheetViews>
    <sheetView workbookViewId="0" topLeftCell="A1">
      <pane xSplit="4" ySplit="9" topLeftCell="E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42" sqref="H42"/>
    </sheetView>
  </sheetViews>
  <sheetFormatPr defaultColWidth="9.140625" defaultRowHeight="12.75"/>
  <cols>
    <col min="4" max="4" width="37.140625" style="0" customWidth="1"/>
    <col min="5" max="5" width="10.28125" style="0" bestFit="1" customWidth="1"/>
  </cols>
  <sheetData>
    <row r="1" ht="15.75">
      <c r="A1" s="10" t="s">
        <v>107</v>
      </c>
    </row>
    <row r="6" spans="5:14" ht="12.75">
      <c r="E6" s="13" t="str">
        <f>Assumptions!E6</f>
        <v>Year</v>
      </c>
      <c r="F6" s="13" t="str">
        <f>Assumptions!F6</f>
        <v>Year</v>
      </c>
      <c r="G6" s="13" t="str">
        <f>Assumptions!G6</f>
        <v>Year</v>
      </c>
      <c r="H6" s="13" t="str">
        <f>Assumptions!H6</f>
        <v>Year</v>
      </c>
      <c r="I6" s="13" t="str">
        <f>Assumptions!I6</f>
        <v>Year</v>
      </c>
      <c r="J6" s="13" t="str">
        <f>Assumptions!J6</f>
        <v>Year</v>
      </c>
      <c r="K6" s="13" t="str">
        <f>Assumptions!K6</f>
        <v>Year</v>
      </c>
      <c r="L6" s="13" t="str">
        <f>Assumptions!L6</f>
        <v>Year</v>
      </c>
      <c r="M6" s="13" t="str">
        <f>Assumptions!M6</f>
        <v>Year</v>
      </c>
      <c r="N6" s="13" t="str">
        <f>Assumptions!N6</f>
        <v>Year</v>
      </c>
    </row>
    <row r="7" spans="5:14" ht="12.75">
      <c r="E7" s="13">
        <f>Assumptions!E7</f>
        <v>1</v>
      </c>
      <c r="F7" s="13">
        <f>Assumptions!F7</f>
        <v>2</v>
      </c>
      <c r="G7" s="13">
        <f>Assumptions!G7</f>
        <v>3</v>
      </c>
      <c r="H7" s="13">
        <f>Assumptions!H7</f>
        <v>4</v>
      </c>
      <c r="I7" s="13">
        <f>Assumptions!I7</f>
        <v>5</v>
      </c>
      <c r="J7" s="13">
        <f>Assumptions!J7</f>
        <v>6</v>
      </c>
      <c r="K7" s="13">
        <f>Assumptions!K7</f>
        <v>7</v>
      </c>
      <c r="L7" s="13">
        <f>Assumptions!L7</f>
        <v>8</v>
      </c>
      <c r="M7" s="13">
        <f>Assumptions!M7</f>
        <v>9</v>
      </c>
      <c r="N7" s="13">
        <f>Assumptions!N7</f>
        <v>10</v>
      </c>
    </row>
    <row r="9" spans="5:14" ht="12.75">
      <c r="E9" s="13">
        <f>Assumptions!E9</f>
        <v>2007</v>
      </c>
      <c r="F9" s="13">
        <f>Assumptions!F9</f>
        <v>2008</v>
      </c>
      <c r="G9" s="13">
        <f>Assumptions!G9</f>
        <v>2009</v>
      </c>
      <c r="H9" s="13">
        <f>Assumptions!H9</f>
        <v>2010</v>
      </c>
      <c r="I9" s="13">
        <f>Assumptions!I9</f>
        <v>2011</v>
      </c>
      <c r="J9" s="13">
        <f>Assumptions!J9</f>
        <v>2012</v>
      </c>
      <c r="K9" s="13">
        <f>Assumptions!K9</f>
        <v>2013</v>
      </c>
      <c r="L9" s="13">
        <f>Assumptions!L9</f>
        <v>2014</v>
      </c>
      <c r="M9" s="13">
        <f>Assumptions!M9</f>
        <v>2015</v>
      </c>
      <c r="N9" s="13">
        <f>Assumptions!N9</f>
        <v>2016</v>
      </c>
    </row>
    <row r="11" spans="1:4" ht="12.75">
      <c r="A11" s="13" t="s">
        <v>72</v>
      </c>
      <c r="B11" s="13"/>
      <c r="C11" s="13"/>
      <c r="D11" s="13"/>
    </row>
    <row r="13" spans="1:14" ht="12.75">
      <c r="A13" s="7" t="s">
        <v>74</v>
      </c>
      <c r="B13" s="7"/>
      <c r="C13" s="16"/>
      <c r="D13" s="7" t="s">
        <v>91</v>
      </c>
      <c r="E13" s="21">
        <v>-2000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 t="s">
        <v>90</v>
      </c>
      <c r="B14" s="7"/>
      <c r="C14" s="16"/>
      <c r="D14" s="13" t="str">
        <f>D13</f>
        <v>estimated annual cost</v>
      </c>
      <c r="E14" s="22">
        <v>5000</v>
      </c>
      <c r="F14" s="7"/>
      <c r="G14" s="7"/>
      <c r="H14" s="7"/>
      <c r="I14" s="7"/>
      <c r="J14" s="7"/>
      <c r="K14" s="7"/>
      <c r="L14" s="7"/>
      <c r="M14" s="7"/>
      <c r="N14" s="7"/>
    </row>
    <row r="15" spans="1:5" ht="12.75">
      <c r="A15" s="7" t="s">
        <v>92</v>
      </c>
      <c r="B15" s="7"/>
      <c r="C15" s="7" t="s">
        <v>57</v>
      </c>
      <c r="D15" s="7" t="s">
        <v>106</v>
      </c>
      <c r="E15" s="19">
        <f>SUM(E13:E14)</f>
        <v>3000</v>
      </c>
    </row>
    <row r="17" spans="1:14" ht="12.75">
      <c r="A17" s="7" t="s">
        <v>75</v>
      </c>
      <c r="B17" s="7"/>
      <c r="C17" s="16"/>
      <c r="D17" s="7" t="s">
        <v>91</v>
      </c>
      <c r="E17" s="23">
        <v>-1500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 t="s">
        <v>94</v>
      </c>
      <c r="B18" s="7"/>
      <c r="C18" s="16"/>
      <c r="D18" s="13" t="str">
        <f>D17</f>
        <v>estimated annual cost</v>
      </c>
      <c r="E18" s="7">
        <v>3000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 t="s">
        <v>92</v>
      </c>
      <c r="B19" s="7"/>
      <c r="C19" s="7" t="s">
        <v>58</v>
      </c>
      <c r="D19" s="7" t="s">
        <v>106</v>
      </c>
      <c r="E19" s="24">
        <f>SUM(E17:E18)</f>
        <v>1500</v>
      </c>
      <c r="F19" s="13"/>
      <c r="G19" s="13"/>
      <c r="H19" s="13"/>
      <c r="I19" s="13"/>
      <c r="J19" s="13"/>
      <c r="K19" s="13"/>
      <c r="L19" s="13"/>
      <c r="M19" s="13"/>
      <c r="N19" s="13"/>
    </row>
    <row r="21" spans="1:14" ht="12.75">
      <c r="A21" s="7" t="s">
        <v>76</v>
      </c>
      <c r="B21" s="7"/>
      <c r="C21" s="16"/>
      <c r="D21" s="7" t="s">
        <v>91</v>
      </c>
      <c r="E21" s="23">
        <v>-1500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 t="s">
        <v>95</v>
      </c>
      <c r="B22" s="7"/>
      <c r="C22" s="16"/>
      <c r="D22" s="13" t="str">
        <f>D21</f>
        <v>estimated annual cost</v>
      </c>
      <c r="E22" s="7">
        <v>2000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 t="s">
        <v>92</v>
      </c>
      <c r="B23" s="7"/>
      <c r="C23" s="7" t="s">
        <v>59</v>
      </c>
      <c r="D23" s="7" t="s">
        <v>106</v>
      </c>
      <c r="E23" s="24">
        <f>SUM(E21:E22)</f>
        <v>500</v>
      </c>
      <c r="F23" s="13"/>
      <c r="G23" s="13"/>
      <c r="H23" s="13"/>
      <c r="I23" s="13"/>
      <c r="J23" s="13"/>
      <c r="K23" s="13"/>
      <c r="L23" s="13"/>
      <c r="M23" s="13"/>
      <c r="N23" s="13"/>
    </row>
    <row r="25" spans="1:14" ht="12.75">
      <c r="A25" s="7" t="s">
        <v>77</v>
      </c>
      <c r="B25" s="7"/>
      <c r="C25" s="16"/>
      <c r="D25" s="7" t="s">
        <v>91</v>
      </c>
      <c r="E25" s="23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 t="s">
        <v>96</v>
      </c>
      <c r="B26" s="7"/>
      <c r="C26" s="16"/>
      <c r="D26" s="13" t="str">
        <f>D25</f>
        <v>estimated annual cost</v>
      </c>
      <c r="E26" s="23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 t="s">
        <v>92</v>
      </c>
      <c r="B27" s="7"/>
      <c r="C27" s="7" t="s">
        <v>60</v>
      </c>
      <c r="D27" s="7" t="s">
        <v>106</v>
      </c>
      <c r="E27" s="24">
        <f>SUM(E25:E26)</f>
        <v>0</v>
      </c>
      <c r="F27" s="13"/>
      <c r="G27" s="13"/>
      <c r="H27" s="13"/>
      <c r="I27" s="13"/>
      <c r="J27" s="13"/>
      <c r="K27" s="13"/>
      <c r="L27" s="13"/>
      <c r="M27" s="13"/>
      <c r="N27" s="13"/>
    </row>
    <row r="29" spans="1:14" ht="12.75">
      <c r="A29" s="7" t="s">
        <v>82</v>
      </c>
      <c r="B29" s="7"/>
      <c r="C29" s="16"/>
      <c r="D29" s="7" t="s">
        <v>91</v>
      </c>
      <c r="E29" s="23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 t="s">
        <v>98</v>
      </c>
      <c r="B30" s="7"/>
      <c r="C30" s="16"/>
      <c r="D30" s="13" t="str">
        <f>D29</f>
        <v>estimated annual cost</v>
      </c>
      <c r="E30" s="23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 t="s">
        <v>92</v>
      </c>
      <c r="B31" s="7"/>
      <c r="C31" s="7" t="s">
        <v>61</v>
      </c>
      <c r="D31" s="7" t="s">
        <v>106</v>
      </c>
      <c r="E31" s="24">
        <f>SUM(E29:E30)</f>
        <v>0</v>
      </c>
      <c r="F31" s="13"/>
      <c r="G31" s="13"/>
      <c r="H31" s="13"/>
      <c r="I31" s="13"/>
      <c r="J31" s="13"/>
      <c r="K31" s="13"/>
      <c r="L31" s="13"/>
      <c r="M31" s="13"/>
      <c r="N31" s="13"/>
    </row>
    <row r="33" spans="1:14" ht="12.75">
      <c r="A33" s="7" t="s">
        <v>93</v>
      </c>
      <c r="B33" s="7"/>
      <c r="C33" s="16"/>
      <c r="D33" s="7" t="s">
        <v>91</v>
      </c>
      <c r="E33" s="23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 t="s">
        <v>99</v>
      </c>
      <c r="B34" s="7"/>
      <c r="C34" s="16"/>
      <c r="D34" s="13" t="str">
        <f>D33</f>
        <v>estimated annual cost</v>
      </c>
      <c r="E34" s="23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 t="s">
        <v>97</v>
      </c>
      <c r="B35" s="7"/>
      <c r="C35" s="7" t="s">
        <v>62</v>
      </c>
      <c r="D35" s="7" t="s">
        <v>106</v>
      </c>
      <c r="E35" s="24">
        <f>SUM(E33:E34)</f>
        <v>0</v>
      </c>
      <c r="F35" s="13"/>
      <c r="G35" s="13"/>
      <c r="H35" s="13"/>
      <c r="I35" s="13"/>
      <c r="J35" s="13"/>
      <c r="K35" s="13"/>
      <c r="L35" s="13"/>
      <c r="M35" s="13"/>
      <c r="N35" s="13"/>
    </row>
    <row r="38" spans="1:4" ht="12.75">
      <c r="A38" s="13" t="s">
        <v>73</v>
      </c>
      <c r="B38" s="13"/>
      <c r="C38" s="13"/>
      <c r="D38" s="17"/>
    </row>
    <row r="40" spans="1:14" ht="12.75">
      <c r="A40" s="7" t="s">
        <v>74</v>
      </c>
      <c r="B40" s="7"/>
      <c r="D40" s="7" t="s">
        <v>100</v>
      </c>
      <c r="E40" s="23"/>
      <c r="F40" s="23"/>
      <c r="G40" s="23"/>
      <c r="H40" s="23">
        <v>-4500</v>
      </c>
      <c r="I40" s="23"/>
      <c r="J40" s="23"/>
      <c r="K40" s="23">
        <v>-6000</v>
      </c>
      <c r="L40" s="23"/>
      <c r="M40" s="23"/>
      <c r="N40" s="23">
        <v>-4500</v>
      </c>
    </row>
    <row r="41" spans="1:14" ht="12.75">
      <c r="A41" s="7" t="s">
        <v>90</v>
      </c>
      <c r="B41" s="7"/>
      <c r="D41" s="13" t="str">
        <f>D40</f>
        <v>periodic maintenance 1</v>
      </c>
      <c r="E41" s="23"/>
      <c r="F41" s="23"/>
      <c r="G41" s="23"/>
      <c r="H41" s="23">
        <v>7500</v>
      </c>
      <c r="I41" s="23"/>
      <c r="J41" s="23"/>
      <c r="K41" s="23">
        <v>3000</v>
      </c>
      <c r="L41" s="23"/>
      <c r="M41" s="23"/>
      <c r="N41" s="23">
        <v>7500</v>
      </c>
    </row>
    <row r="42" spans="1:14" ht="12.75">
      <c r="A42" s="7" t="s">
        <v>97</v>
      </c>
      <c r="B42" s="7"/>
      <c r="E42" s="20">
        <f aca="true" t="shared" si="0" ref="E42:N42">SUM(E40:E41)</f>
        <v>0</v>
      </c>
      <c r="F42" s="20">
        <f t="shared" si="0"/>
        <v>0</v>
      </c>
      <c r="G42" s="20">
        <f t="shared" si="0"/>
        <v>0</v>
      </c>
      <c r="H42" s="20">
        <f t="shared" si="0"/>
        <v>3000</v>
      </c>
      <c r="I42" s="20">
        <f t="shared" si="0"/>
        <v>0</v>
      </c>
      <c r="J42" s="20">
        <f t="shared" si="0"/>
        <v>0</v>
      </c>
      <c r="K42" s="20">
        <f t="shared" si="0"/>
        <v>-3000</v>
      </c>
      <c r="L42" s="20">
        <f t="shared" si="0"/>
        <v>0</v>
      </c>
      <c r="M42" s="20">
        <f t="shared" si="0"/>
        <v>0</v>
      </c>
      <c r="N42" s="20">
        <f t="shared" si="0"/>
        <v>3000</v>
      </c>
    </row>
    <row r="44" spans="1:14" ht="12.75">
      <c r="A44" s="7" t="s">
        <v>75</v>
      </c>
      <c r="B44" s="7"/>
      <c r="D44" s="7" t="s">
        <v>101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2.75">
      <c r="A45" s="7" t="s">
        <v>94</v>
      </c>
      <c r="B45" s="7"/>
      <c r="D45" s="13" t="str">
        <f>D44</f>
        <v>other periodic cost 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2.75">
      <c r="A46" s="7" t="s">
        <v>97</v>
      </c>
      <c r="B46" s="7"/>
      <c r="E46" s="24">
        <f>SUM(E44:E45)</f>
        <v>0</v>
      </c>
      <c r="F46" s="24">
        <f aca="true" t="shared" si="1" ref="F46:N46">SUM(F44:F45)</f>
        <v>0</v>
      </c>
      <c r="G46" s="24">
        <f t="shared" si="1"/>
        <v>0</v>
      </c>
      <c r="H46" s="24">
        <f t="shared" si="1"/>
        <v>0</v>
      </c>
      <c r="I46" s="24">
        <f t="shared" si="1"/>
        <v>0</v>
      </c>
      <c r="J46" s="24">
        <f t="shared" si="1"/>
        <v>0</v>
      </c>
      <c r="K46" s="24">
        <f t="shared" si="1"/>
        <v>0</v>
      </c>
      <c r="L46" s="24">
        <f t="shared" si="1"/>
        <v>0</v>
      </c>
      <c r="M46" s="24">
        <f t="shared" si="1"/>
        <v>0</v>
      </c>
      <c r="N46" s="24">
        <f t="shared" si="1"/>
        <v>0</v>
      </c>
    </row>
    <row r="48" spans="1:14" ht="12.75">
      <c r="A48" s="7" t="s">
        <v>76</v>
      </c>
      <c r="B48" s="7"/>
      <c r="D48" s="7" t="s">
        <v>102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7" t="s">
        <v>95</v>
      </c>
      <c r="B49" s="7"/>
      <c r="D49" s="13" t="str">
        <f>D48</f>
        <v>other periodic cost 3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7" t="s">
        <v>97</v>
      </c>
      <c r="B50" s="7"/>
      <c r="E50" s="24">
        <f>SUM(E48:E49)</f>
        <v>0</v>
      </c>
      <c r="F50" s="24">
        <f aca="true" t="shared" si="2" ref="F50:N50">SUM(F48:F49)</f>
        <v>0</v>
      </c>
      <c r="G50" s="24">
        <f t="shared" si="2"/>
        <v>0</v>
      </c>
      <c r="H50" s="24">
        <f t="shared" si="2"/>
        <v>0</v>
      </c>
      <c r="I50" s="24">
        <f t="shared" si="2"/>
        <v>0</v>
      </c>
      <c r="J50" s="24">
        <f t="shared" si="2"/>
        <v>0</v>
      </c>
      <c r="K50" s="24">
        <f t="shared" si="2"/>
        <v>0</v>
      </c>
      <c r="L50" s="24">
        <f t="shared" si="2"/>
        <v>0</v>
      </c>
      <c r="M50" s="24">
        <f t="shared" si="2"/>
        <v>0</v>
      </c>
      <c r="N50" s="24">
        <f t="shared" si="2"/>
        <v>0</v>
      </c>
    </row>
    <row r="52" spans="1:14" ht="12.75">
      <c r="A52" s="7" t="s">
        <v>77</v>
      </c>
      <c r="B52" s="7"/>
      <c r="D52" s="7" t="s">
        <v>103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7" t="s">
        <v>96</v>
      </c>
      <c r="B53" s="7"/>
      <c r="D53" s="13" t="str">
        <f>D52</f>
        <v>other periodic cost 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>
      <c r="A54" s="7" t="s">
        <v>97</v>
      </c>
      <c r="B54" s="7"/>
      <c r="E54" s="24">
        <f>SUM(E52:E53)</f>
        <v>0</v>
      </c>
      <c r="F54" s="24">
        <f aca="true" t="shared" si="3" ref="F54:N54">SUM(F52:F53)</f>
        <v>0</v>
      </c>
      <c r="G54" s="24">
        <f t="shared" si="3"/>
        <v>0</v>
      </c>
      <c r="H54" s="24">
        <f t="shared" si="3"/>
        <v>0</v>
      </c>
      <c r="I54" s="24">
        <f t="shared" si="3"/>
        <v>0</v>
      </c>
      <c r="J54" s="24">
        <f t="shared" si="3"/>
        <v>0</v>
      </c>
      <c r="K54" s="24">
        <f t="shared" si="3"/>
        <v>0</v>
      </c>
      <c r="L54" s="24">
        <f t="shared" si="3"/>
        <v>0</v>
      </c>
      <c r="M54" s="24">
        <f t="shared" si="3"/>
        <v>0</v>
      </c>
      <c r="N54" s="24">
        <f t="shared" si="3"/>
        <v>0</v>
      </c>
    </row>
    <row r="56" spans="1:14" ht="12.75">
      <c r="A56" s="7" t="s">
        <v>82</v>
      </c>
      <c r="B56" s="7"/>
      <c r="D56" s="7" t="s">
        <v>104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.75">
      <c r="A57" s="7" t="s">
        <v>98</v>
      </c>
      <c r="B57" s="7"/>
      <c r="D57" s="13" t="str">
        <f>D56</f>
        <v>other periodic cost 5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7" t="s">
        <v>97</v>
      </c>
      <c r="B58" s="7"/>
      <c r="E58" s="24">
        <f>SUM(E56:E57)</f>
        <v>0</v>
      </c>
      <c r="F58" s="24">
        <f aca="true" t="shared" si="4" ref="F58:N58">SUM(F56:F57)</f>
        <v>0</v>
      </c>
      <c r="G58" s="24">
        <f t="shared" si="4"/>
        <v>0</v>
      </c>
      <c r="H58" s="24">
        <f t="shared" si="4"/>
        <v>0</v>
      </c>
      <c r="I58" s="24">
        <f t="shared" si="4"/>
        <v>0</v>
      </c>
      <c r="J58" s="24">
        <f t="shared" si="4"/>
        <v>0</v>
      </c>
      <c r="K58" s="24">
        <f t="shared" si="4"/>
        <v>0</v>
      </c>
      <c r="L58" s="24">
        <f t="shared" si="4"/>
        <v>0</v>
      </c>
      <c r="M58" s="24">
        <f t="shared" si="4"/>
        <v>0</v>
      </c>
      <c r="N58" s="24">
        <f t="shared" si="4"/>
        <v>0</v>
      </c>
    </row>
    <row r="60" spans="1:14" ht="12.75">
      <c r="A60" s="7" t="s">
        <v>93</v>
      </c>
      <c r="B60" s="7"/>
      <c r="D60" s="7" t="s">
        <v>105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2.75">
      <c r="A61" s="7" t="s">
        <v>99</v>
      </c>
      <c r="B61" s="7"/>
      <c r="D61" s="13" t="str">
        <f>D60</f>
        <v>other periodic cost 6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7" t="s">
        <v>97</v>
      </c>
      <c r="B62" s="7"/>
      <c r="E62" s="24">
        <f>SUM(E60:E61)</f>
        <v>0</v>
      </c>
      <c r="F62" s="24">
        <f aca="true" t="shared" si="5" ref="F62:N62">SUM(F60:F61)</f>
        <v>0</v>
      </c>
      <c r="G62" s="24">
        <f t="shared" si="5"/>
        <v>0</v>
      </c>
      <c r="H62" s="24">
        <f t="shared" si="5"/>
        <v>0</v>
      </c>
      <c r="I62" s="24">
        <f t="shared" si="5"/>
        <v>0</v>
      </c>
      <c r="J62" s="24">
        <f t="shared" si="5"/>
        <v>0</v>
      </c>
      <c r="K62" s="24">
        <f t="shared" si="5"/>
        <v>0</v>
      </c>
      <c r="L62" s="24">
        <f t="shared" si="5"/>
        <v>0</v>
      </c>
      <c r="M62" s="24">
        <f t="shared" si="5"/>
        <v>0</v>
      </c>
      <c r="N62" s="24">
        <f t="shared" si="5"/>
        <v>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P44"/>
  <sheetViews>
    <sheetView showZeros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0" sqref="F50"/>
    </sheetView>
  </sheetViews>
  <sheetFormatPr defaultColWidth="9.140625" defaultRowHeight="12.75"/>
  <cols>
    <col min="3" max="3" width="21.140625" style="0" customWidth="1"/>
  </cols>
  <sheetData>
    <row r="1" ht="15.75">
      <c r="A1" s="10" t="s">
        <v>87</v>
      </c>
    </row>
    <row r="4" spans="4:14" ht="12.75">
      <c r="D4" s="13" t="s">
        <v>19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</row>
    <row r="5" spans="4:14" ht="12.75">
      <c r="D5" s="13" t="s">
        <v>20</v>
      </c>
      <c r="E5" s="14">
        <v>1</v>
      </c>
      <c r="F5" s="14">
        <f>E5+1</f>
        <v>2</v>
      </c>
      <c r="G5" s="14">
        <f aca="true" t="shared" si="0" ref="G5:N5">F5+1</f>
        <v>3</v>
      </c>
      <c r="H5" s="14">
        <f t="shared" si="0"/>
        <v>4</v>
      </c>
      <c r="I5" s="14">
        <f t="shared" si="0"/>
        <v>5</v>
      </c>
      <c r="J5" s="14">
        <f t="shared" si="0"/>
        <v>6</v>
      </c>
      <c r="K5" s="14">
        <f t="shared" si="0"/>
        <v>7</v>
      </c>
      <c r="L5" s="14">
        <f t="shared" si="0"/>
        <v>8</v>
      </c>
      <c r="M5" s="14">
        <f t="shared" si="0"/>
        <v>9</v>
      </c>
      <c r="N5" s="14">
        <f t="shared" si="0"/>
        <v>10</v>
      </c>
    </row>
    <row r="6" spans="5:14" ht="12.75">
      <c r="E6" s="2"/>
      <c r="F6" s="2"/>
      <c r="G6" s="2"/>
      <c r="H6" s="2"/>
      <c r="I6" s="2"/>
      <c r="J6" s="2"/>
      <c r="K6" s="2"/>
      <c r="L6" s="2"/>
      <c r="M6" s="2"/>
      <c r="N6" s="2"/>
    </row>
    <row r="7" spans="5:14" ht="12.75">
      <c r="E7" s="15">
        <f>Assumptions!E9</f>
        <v>2007</v>
      </c>
      <c r="F7" s="15">
        <f>Assumptions!F9</f>
        <v>2008</v>
      </c>
      <c r="G7" s="15">
        <f>Assumptions!G9</f>
        <v>2009</v>
      </c>
      <c r="H7" s="15">
        <f>Assumptions!H9</f>
        <v>2010</v>
      </c>
      <c r="I7" s="15">
        <f>Assumptions!I9</f>
        <v>2011</v>
      </c>
      <c r="J7" s="15">
        <f>Assumptions!J9</f>
        <v>2012</v>
      </c>
      <c r="K7" s="15">
        <f>Assumptions!K9</f>
        <v>2013</v>
      </c>
      <c r="L7" s="15">
        <f>Assumptions!L9</f>
        <v>2014</v>
      </c>
      <c r="M7" s="15">
        <f>Assumptions!M9</f>
        <v>2015</v>
      </c>
      <c r="N7" s="15">
        <f>Assumptions!N9</f>
        <v>2016</v>
      </c>
    </row>
    <row r="8" spans="5:14" ht="12.75"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2.75">
      <c r="A9" s="13" t="s">
        <v>2</v>
      </c>
      <c r="B9" s="13"/>
      <c r="E9" s="18">
        <f>Assumptions!E11</f>
        <v>1</v>
      </c>
      <c r="F9" s="18">
        <f>Assumptions!F11</f>
        <v>1</v>
      </c>
      <c r="G9" s="18">
        <f>Assumptions!G11</f>
        <v>1</v>
      </c>
      <c r="H9" s="18">
        <f>Assumptions!H11</f>
        <v>1</v>
      </c>
      <c r="I9" s="18">
        <f>Assumptions!I11</f>
        <v>1</v>
      </c>
      <c r="J9" s="18">
        <f>Assumptions!J11</f>
        <v>1</v>
      </c>
      <c r="K9" s="18">
        <f>Assumptions!K11</f>
        <v>1</v>
      </c>
      <c r="L9" s="18">
        <f>Assumptions!L11</f>
        <v>1</v>
      </c>
      <c r="M9" s="18">
        <f>Assumptions!M11</f>
        <v>1</v>
      </c>
      <c r="N9" s="18">
        <f>Assumptions!N11</f>
        <v>1</v>
      </c>
      <c r="O9" s="1"/>
    </row>
    <row r="10" spans="5:14" ht="12.75"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3" t="s">
        <v>72</v>
      </c>
      <c r="B11" s="13"/>
      <c r="C11" s="13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5:14" ht="12.75"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3" t="str">
        <f>'Net Revenue Benefits and Costs'!A13</f>
        <v>Our product A</v>
      </c>
      <c r="B13" s="13"/>
      <c r="C13" s="13" t="str">
        <f>'Net Revenue Benefits and Costs'!C15</f>
        <v>benefit 1</v>
      </c>
      <c r="D13" s="17">
        <f>'Net Revenue Benefits and Costs'!E15</f>
        <v>3000</v>
      </c>
      <c r="E13" s="17">
        <f>$D13*E$9</f>
        <v>3000</v>
      </c>
      <c r="F13" s="17">
        <f>$D13*F$9</f>
        <v>3000</v>
      </c>
      <c r="G13" s="17">
        <f aca="true" t="shared" si="1" ref="G13:N13">$D13*G$9</f>
        <v>3000</v>
      </c>
      <c r="H13" s="17">
        <f t="shared" si="1"/>
        <v>3000</v>
      </c>
      <c r="I13" s="17">
        <f t="shared" si="1"/>
        <v>3000</v>
      </c>
      <c r="J13" s="17">
        <f t="shared" si="1"/>
        <v>3000</v>
      </c>
      <c r="K13" s="17">
        <f t="shared" si="1"/>
        <v>3000</v>
      </c>
      <c r="L13" s="17">
        <f t="shared" si="1"/>
        <v>3000</v>
      </c>
      <c r="M13" s="17">
        <f t="shared" si="1"/>
        <v>3000</v>
      </c>
      <c r="N13" s="17">
        <f t="shared" si="1"/>
        <v>3000</v>
      </c>
    </row>
    <row r="14" spans="1:14" ht="12.75">
      <c r="A14" s="13" t="str">
        <f>'Net Revenue Benefits and Costs'!A17</f>
        <v>Our product B</v>
      </c>
      <c r="B14" s="13"/>
      <c r="C14" s="13" t="str">
        <f>'Net Revenue Benefits and Costs'!C19</f>
        <v>benefit 2</v>
      </c>
      <c r="D14" s="17">
        <f>'Net Revenue Benefits and Costs'!E19</f>
        <v>1500</v>
      </c>
      <c r="E14" s="17">
        <f aca="true" t="shared" si="2" ref="E14:N18">$D14*E$9</f>
        <v>1500</v>
      </c>
      <c r="F14" s="17">
        <f t="shared" si="2"/>
        <v>1500</v>
      </c>
      <c r="G14" s="17">
        <f t="shared" si="2"/>
        <v>1500</v>
      </c>
      <c r="H14" s="17">
        <f t="shared" si="2"/>
        <v>1500</v>
      </c>
      <c r="I14" s="17">
        <f t="shared" si="2"/>
        <v>1500</v>
      </c>
      <c r="J14" s="17">
        <f t="shared" si="2"/>
        <v>1500</v>
      </c>
      <c r="K14" s="17">
        <f t="shared" si="2"/>
        <v>1500</v>
      </c>
      <c r="L14" s="17">
        <f t="shared" si="2"/>
        <v>1500</v>
      </c>
      <c r="M14" s="17">
        <f t="shared" si="2"/>
        <v>1500</v>
      </c>
      <c r="N14" s="17">
        <f t="shared" si="2"/>
        <v>1500</v>
      </c>
    </row>
    <row r="15" spans="1:14" ht="12.75">
      <c r="A15" s="13" t="str">
        <f>'Net Revenue Benefits and Costs'!A21</f>
        <v>Our product C</v>
      </c>
      <c r="B15" s="13"/>
      <c r="C15" s="13" t="str">
        <f>'Net Revenue Benefits and Costs'!C23</f>
        <v>benefit 3</v>
      </c>
      <c r="D15" s="17">
        <f>'Net Revenue Benefits and Costs'!E23</f>
        <v>500</v>
      </c>
      <c r="E15" s="17">
        <f t="shared" si="2"/>
        <v>500</v>
      </c>
      <c r="F15" s="17">
        <f t="shared" si="2"/>
        <v>500</v>
      </c>
      <c r="G15" s="17">
        <f t="shared" si="2"/>
        <v>500</v>
      </c>
      <c r="H15" s="17">
        <f t="shared" si="2"/>
        <v>500</v>
      </c>
      <c r="I15" s="17">
        <f t="shared" si="2"/>
        <v>500</v>
      </c>
      <c r="J15" s="17">
        <f t="shared" si="2"/>
        <v>500</v>
      </c>
      <c r="K15" s="17">
        <f t="shared" si="2"/>
        <v>500</v>
      </c>
      <c r="L15" s="17">
        <f t="shared" si="2"/>
        <v>500</v>
      </c>
      <c r="M15" s="17">
        <f t="shared" si="2"/>
        <v>500</v>
      </c>
      <c r="N15" s="17">
        <f t="shared" si="2"/>
        <v>500</v>
      </c>
    </row>
    <row r="16" spans="1:14" ht="12.75">
      <c r="A16" s="13" t="str">
        <f>'Net Revenue Benefits and Costs'!A25</f>
        <v>Our product D</v>
      </c>
      <c r="B16" s="13"/>
      <c r="C16" s="13" t="str">
        <f>'Net Revenue Benefits and Costs'!C27</f>
        <v>benefit 4</v>
      </c>
      <c r="D16" s="17">
        <f>'Net Revenue Benefits and Costs'!E27</f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</row>
    <row r="17" spans="1:14" ht="12.75">
      <c r="A17" s="13" t="str">
        <f>'Net Revenue Benefits and Costs'!A29</f>
        <v>Our product E</v>
      </c>
      <c r="B17" s="13"/>
      <c r="C17" s="13" t="str">
        <f>'Net Revenue Benefits and Costs'!C31</f>
        <v>benefit 5</v>
      </c>
      <c r="D17" s="17">
        <f>'Net Revenue Benefits and Costs'!E31</f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</row>
    <row r="18" spans="1:14" ht="12.75">
      <c r="A18" s="13" t="str">
        <f>'Net Revenue Benefits and Costs'!A33</f>
        <v>Our product F</v>
      </c>
      <c r="B18" s="13"/>
      <c r="C18" s="13" t="str">
        <f>'Net Revenue Benefits and Costs'!C35</f>
        <v>benefit 6</v>
      </c>
      <c r="D18" s="17">
        <f>'Net Revenue Benefits and Costs'!E35</f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</row>
    <row r="19" spans="2:14" ht="12.75">
      <c r="B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4:14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13" t="s">
        <v>1</v>
      </c>
      <c r="D21" s="17">
        <f>SUM(D13:D18)</f>
        <v>5000</v>
      </c>
      <c r="E21" s="17">
        <f>SUM(E13:E18)</f>
        <v>5000</v>
      </c>
      <c r="F21" s="17">
        <f aca="true" t="shared" si="3" ref="F21:N21">SUM(F13:F18)</f>
        <v>5000</v>
      </c>
      <c r="G21" s="17">
        <f t="shared" si="3"/>
        <v>5000</v>
      </c>
      <c r="H21" s="17">
        <f t="shared" si="3"/>
        <v>5000</v>
      </c>
      <c r="I21" s="17">
        <f t="shared" si="3"/>
        <v>5000</v>
      </c>
      <c r="J21" s="17">
        <f t="shared" si="3"/>
        <v>5000</v>
      </c>
      <c r="K21" s="17">
        <f t="shared" si="3"/>
        <v>5000</v>
      </c>
      <c r="L21" s="17">
        <f t="shared" si="3"/>
        <v>5000</v>
      </c>
      <c r="M21" s="17">
        <f t="shared" si="3"/>
        <v>5000</v>
      </c>
      <c r="N21" s="17">
        <f t="shared" si="3"/>
        <v>5000</v>
      </c>
    </row>
    <row r="22" spans="4:14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13" t="s">
        <v>73</v>
      </c>
      <c r="B23" s="13"/>
      <c r="C23" s="13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4:14" ht="12.7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13" t="str">
        <f>'Net Revenue Benefits and Costs'!A40:B40</f>
        <v>Our product A</v>
      </c>
      <c r="B25" s="13"/>
      <c r="C25" s="13" t="str">
        <f>'Net Revenue Benefits and Costs'!D40</f>
        <v>periodic maintenance 1</v>
      </c>
      <c r="D25" s="17"/>
      <c r="E25" s="17">
        <f>'Net Revenue Benefits and Costs'!E42</f>
        <v>0</v>
      </c>
      <c r="F25" s="17">
        <f>'Net Revenue Benefits and Costs'!F42</f>
        <v>0</v>
      </c>
      <c r="G25" s="17">
        <f>'Net Revenue Benefits and Costs'!G42</f>
        <v>0</v>
      </c>
      <c r="H25" s="17">
        <f>'Net Revenue Benefits and Costs'!H42</f>
        <v>3000</v>
      </c>
      <c r="I25" s="17">
        <f>'Net Revenue Benefits and Costs'!I42</f>
        <v>0</v>
      </c>
      <c r="J25" s="17">
        <f>'Net Revenue Benefits and Costs'!J42</f>
        <v>0</v>
      </c>
      <c r="K25" s="17">
        <f>'Net Revenue Benefits and Costs'!K42</f>
        <v>-3000</v>
      </c>
      <c r="L25" s="17">
        <f>'Net Revenue Benefits and Costs'!L42</f>
        <v>0</v>
      </c>
      <c r="M25" s="17">
        <f>'Net Revenue Benefits and Costs'!M42</f>
        <v>0</v>
      </c>
      <c r="N25" s="17">
        <f>'Net Revenue Benefits and Costs'!N42</f>
        <v>3000</v>
      </c>
    </row>
    <row r="26" spans="1:14" ht="12.75">
      <c r="A26" s="13" t="str">
        <f>'Net Revenue Benefits and Costs'!A44:B44</f>
        <v>Our product B</v>
      </c>
      <c r="B26" s="13"/>
      <c r="C26" s="13" t="str">
        <f>'Net Revenue Benefits and Costs'!D44</f>
        <v>other periodic cost 2</v>
      </c>
      <c r="D26" s="17"/>
      <c r="E26" s="17">
        <f>'Net Revenue Benefits and Costs'!E46</f>
        <v>0</v>
      </c>
      <c r="F26" s="17">
        <f>'Net Revenue Benefits and Costs'!F46</f>
        <v>0</v>
      </c>
      <c r="G26" s="17">
        <f>'Net Revenue Benefits and Costs'!G46</f>
        <v>0</v>
      </c>
      <c r="H26" s="17">
        <f>'Net Revenue Benefits and Costs'!H46</f>
        <v>0</v>
      </c>
      <c r="I26" s="17">
        <f>'Net Revenue Benefits and Costs'!I46</f>
        <v>0</v>
      </c>
      <c r="J26" s="17">
        <f>'Net Revenue Benefits and Costs'!J46</f>
        <v>0</v>
      </c>
      <c r="K26" s="17">
        <f>'Net Revenue Benefits and Costs'!K46</f>
        <v>0</v>
      </c>
      <c r="L26" s="17">
        <f>'Net Revenue Benefits and Costs'!L46</f>
        <v>0</v>
      </c>
      <c r="M26" s="17">
        <f>'Net Revenue Benefits and Costs'!M46</f>
        <v>0</v>
      </c>
      <c r="N26" s="17">
        <f>'Net Revenue Benefits and Costs'!N46</f>
        <v>0</v>
      </c>
    </row>
    <row r="27" spans="1:14" ht="12.75">
      <c r="A27" s="13" t="str">
        <f>'Net Revenue Benefits and Costs'!A48:B48</f>
        <v>Our product C</v>
      </c>
      <c r="B27" s="13"/>
      <c r="C27" s="13" t="str">
        <f>'Net Revenue Benefits and Costs'!D48</f>
        <v>other periodic cost 3</v>
      </c>
      <c r="D27" s="17"/>
      <c r="E27" s="17">
        <f>'Net Revenue Benefits and Costs'!E50</f>
        <v>0</v>
      </c>
      <c r="F27" s="17">
        <f>'Net Revenue Benefits and Costs'!F50</f>
        <v>0</v>
      </c>
      <c r="G27" s="17">
        <f>'Net Revenue Benefits and Costs'!G50</f>
        <v>0</v>
      </c>
      <c r="H27" s="17">
        <f>'Net Revenue Benefits and Costs'!H50</f>
        <v>0</v>
      </c>
      <c r="I27" s="17">
        <f>'Net Revenue Benefits and Costs'!I50</f>
        <v>0</v>
      </c>
      <c r="J27" s="17">
        <f>'Net Revenue Benefits and Costs'!J50</f>
        <v>0</v>
      </c>
      <c r="K27" s="17">
        <f>'Net Revenue Benefits and Costs'!K50</f>
        <v>0</v>
      </c>
      <c r="L27" s="17">
        <f>'Net Revenue Benefits and Costs'!L50</f>
        <v>0</v>
      </c>
      <c r="M27" s="17">
        <f>'Net Revenue Benefits and Costs'!M50</f>
        <v>0</v>
      </c>
      <c r="N27" s="17">
        <f>'Net Revenue Benefits and Costs'!N50</f>
        <v>0</v>
      </c>
    </row>
    <row r="28" spans="1:14" ht="12.75">
      <c r="A28" s="13" t="str">
        <f>'Net Revenue Benefits and Costs'!A52:B52</f>
        <v>Our product D</v>
      </c>
      <c r="B28" s="13"/>
      <c r="C28" s="13" t="str">
        <f>'Net Revenue Benefits and Costs'!D52</f>
        <v>other periodic cost 4</v>
      </c>
      <c r="D28" s="17"/>
      <c r="E28" s="17">
        <f>'Net Revenue Benefits and Costs'!E54</f>
        <v>0</v>
      </c>
      <c r="F28" s="17">
        <f>'Net Revenue Benefits and Costs'!F54</f>
        <v>0</v>
      </c>
      <c r="G28" s="17">
        <f>'Net Revenue Benefits and Costs'!G54</f>
        <v>0</v>
      </c>
      <c r="H28" s="17">
        <f>'Net Revenue Benefits and Costs'!H54</f>
        <v>0</v>
      </c>
      <c r="I28" s="17">
        <f>'Net Revenue Benefits and Costs'!I54</f>
        <v>0</v>
      </c>
      <c r="J28" s="17">
        <f>'Net Revenue Benefits and Costs'!J54</f>
        <v>0</v>
      </c>
      <c r="K28" s="17">
        <f>'Net Revenue Benefits and Costs'!K54</f>
        <v>0</v>
      </c>
      <c r="L28" s="17">
        <f>'Net Revenue Benefits and Costs'!L54</f>
        <v>0</v>
      </c>
      <c r="M28" s="17">
        <f>'Net Revenue Benefits and Costs'!M54</f>
        <v>0</v>
      </c>
      <c r="N28" s="17">
        <f>'Net Revenue Benefits and Costs'!N54</f>
        <v>0</v>
      </c>
    </row>
    <row r="29" spans="1:14" ht="12.75">
      <c r="A29" s="13" t="str">
        <f>'Net Revenue Benefits and Costs'!A56:B56</f>
        <v>Our product E</v>
      </c>
      <c r="B29" s="13"/>
      <c r="C29" s="13" t="str">
        <f>'Net Revenue Benefits and Costs'!D56</f>
        <v>other periodic cost 5</v>
      </c>
      <c r="D29" s="17"/>
      <c r="E29" s="17">
        <f>'Net Revenue Benefits and Costs'!E58</f>
        <v>0</v>
      </c>
      <c r="F29" s="17">
        <f>'Net Revenue Benefits and Costs'!F58</f>
        <v>0</v>
      </c>
      <c r="G29" s="17">
        <f>'Net Revenue Benefits and Costs'!G58</f>
        <v>0</v>
      </c>
      <c r="H29" s="17">
        <f>'Net Revenue Benefits and Costs'!H58</f>
        <v>0</v>
      </c>
      <c r="I29" s="17">
        <f>'Net Revenue Benefits and Costs'!I58</f>
        <v>0</v>
      </c>
      <c r="J29" s="17">
        <f>'Net Revenue Benefits and Costs'!J58</f>
        <v>0</v>
      </c>
      <c r="K29" s="17">
        <f>'Net Revenue Benefits and Costs'!K58</f>
        <v>0</v>
      </c>
      <c r="L29" s="17">
        <f>'Net Revenue Benefits and Costs'!L58</f>
        <v>0</v>
      </c>
      <c r="M29" s="17">
        <f>'Net Revenue Benefits and Costs'!M58</f>
        <v>0</v>
      </c>
      <c r="N29" s="17">
        <f>'Net Revenue Benefits and Costs'!N58</f>
        <v>0</v>
      </c>
    </row>
    <row r="30" spans="1:14" ht="12.75">
      <c r="A30" s="13" t="str">
        <f>'Net Revenue Benefits and Costs'!A60:B60</f>
        <v>Our product F</v>
      </c>
      <c r="B30" s="13"/>
      <c r="C30" s="13" t="str">
        <f>'Net Revenue Benefits and Costs'!D60</f>
        <v>other periodic cost 6</v>
      </c>
      <c r="D30" s="17"/>
      <c r="E30" s="17">
        <f>'Net Revenue Benefits and Costs'!E62</f>
        <v>0</v>
      </c>
      <c r="F30" s="17">
        <f>'Net Revenue Benefits and Costs'!F62</f>
        <v>0</v>
      </c>
      <c r="G30" s="17">
        <f>'Net Revenue Benefits and Costs'!G62</f>
        <v>0</v>
      </c>
      <c r="H30" s="17">
        <f>'Net Revenue Benefits and Costs'!H62</f>
        <v>0</v>
      </c>
      <c r="I30" s="17">
        <f>'Net Revenue Benefits and Costs'!I62</f>
        <v>0</v>
      </c>
      <c r="J30" s="17">
        <f>'Net Revenue Benefits and Costs'!J62</f>
        <v>0</v>
      </c>
      <c r="K30" s="17">
        <f>'Net Revenue Benefits and Costs'!K62</f>
        <v>0</v>
      </c>
      <c r="L30" s="17">
        <f>'Net Revenue Benefits and Costs'!L62</f>
        <v>0</v>
      </c>
      <c r="M30" s="17">
        <f>'Net Revenue Benefits and Costs'!M62</f>
        <v>0</v>
      </c>
      <c r="N30" s="17">
        <f>'Net Revenue Benefits and Costs'!N62</f>
        <v>0</v>
      </c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13" t="s">
        <v>1</v>
      </c>
      <c r="D33" s="2"/>
      <c r="E33" s="17">
        <f aca="true" t="shared" si="4" ref="E33:N33">SUM(E25:E30)</f>
        <v>0</v>
      </c>
      <c r="F33" s="17">
        <f t="shared" si="4"/>
        <v>0</v>
      </c>
      <c r="G33" s="17">
        <f t="shared" si="4"/>
        <v>0</v>
      </c>
      <c r="H33" s="17">
        <f>SUM(H25:H30)</f>
        <v>3000</v>
      </c>
      <c r="I33" s="17">
        <f t="shared" si="4"/>
        <v>0</v>
      </c>
      <c r="J33" s="17">
        <f t="shared" si="4"/>
        <v>0</v>
      </c>
      <c r="K33" s="17">
        <f t="shared" si="4"/>
        <v>-3000</v>
      </c>
      <c r="L33" s="17">
        <f t="shared" si="4"/>
        <v>0</v>
      </c>
      <c r="M33" s="17">
        <f t="shared" si="4"/>
        <v>0</v>
      </c>
      <c r="N33" s="17">
        <f t="shared" si="4"/>
        <v>3000</v>
      </c>
    </row>
    <row r="34" spans="5:14" ht="12.75"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5:14" ht="12.75"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13" t="s">
        <v>3</v>
      </c>
      <c r="B36" s="13"/>
      <c r="E36" s="17">
        <f>'Tax and Depreciation'!E25</f>
        <v>-1246.6666666666667</v>
      </c>
      <c r="F36" s="17">
        <f>'Tax and Depreciation'!F25</f>
        <v>-1246.6666666666667</v>
      </c>
      <c r="G36" s="17">
        <f>'Tax and Depreciation'!G25</f>
        <v>-1246.6666666666667</v>
      </c>
      <c r="H36" s="17">
        <f>'Tax and Depreciation'!H25</f>
        <v>-1246.6666666666667</v>
      </c>
      <c r="I36" s="17">
        <f>'Tax and Depreciation'!I25</f>
        <v>-1246.6666666666667</v>
      </c>
      <c r="J36" s="17">
        <f>'Tax and Depreciation'!J25</f>
        <v>-1246.6666666666667</v>
      </c>
      <c r="K36" s="17">
        <f>'Tax and Depreciation'!K25</f>
        <v>-1246.6666666666667</v>
      </c>
      <c r="L36" s="17">
        <f>'Tax and Depreciation'!L25</f>
        <v>-1246.6666666666667</v>
      </c>
      <c r="M36" s="17">
        <f>'Tax and Depreciation'!M25</f>
        <v>-1246.6666666666667</v>
      </c>
      <c r="N36" s="17">
        <f>'Tax and Depreciation'!N25</f>
        <v>-1246.6666666666667</v>
      </c>
    </row>
    <row r="37" spans="5:14" ht="12.75"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13" t="s">
        <v>4</v>
      </c>
      <c r="B38" s="13"/>
      <c r="E38" s="17">
        <f>E36+E33+E21</f>
        <v>3753.333333333333</v>
      </c>
      <c r="F38" s="17">
        <f>F36+F33+F21</f>
        <v>3753.333333333333</v>
      </c>
      <c r="G38" s="17">
        <f aca="true" t="shared" si="5" ref="G38:N38">G36+G33+G21</f>
        <v>3753.333333333333</v>
      </c>
      <c r="H38" s="17">
        <f>H36+H33+H21</f>
        <v>6753.333333333333</v>
      </c>
      <c r="I38" s="17">
        <f t="shared" si="5"/>
        <v>3753.333333333333</v>
      </c>
      <c r="J38" s="17">
        <f t="shared" si="5"/>
        <v>3753.333333333333</v>
      </c>
      <c r="K38" s="17">
        <f t="shared" si="5"/>
        <v>753.333333333333</v>
      </c>
      <c r="L38" s="17">
        <f t="shared" si="5"/>
        <v>3753.333333333333</v>
      </c>
      <c r="M38" s="17">
        <f t="shared" si="5"/>
        <v>3753.333333333333</v>
      </c>
      <c r="N38" s="17">
        <f t="shared" si="5"/>
        <v>6753.333333333333</v>
      </c>
    </row>
    <row r="39" spans="5:14" ht="12.75"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13" t="s">
        <v>5</v>
      </c>
      <c r="B40" s="13"/>
      <c r="E40" s="17">
        <f>'Cash Flow'!E27</f>
        <v>-129</v>
      </c>
      <c r="F40" s="17">
        <f>'Cash Flow'!F27</f>
        <v>-119.55000000000003</v>
      </c>
      <c r="G40" s="17">
        <f>'Cash Flow'!G27</f>
        <v>142.536574074074</v>
      </c>
      <c r="H40" s="17">
        <f>'Cash Flow'!H27</f>
        <v>470.92430026334046</v>
      </c>
      <c r="I40" s="17">
        <f>'Cash Flow'!I27</f>
        <v>751.2213911508915</v>
      </c>
      <c r="J40" s="17">
        <f>'Cash Flow'!J27</f>
        <v>799.960728755668</v>
      </c>
      <c r="K40" s="17">
        <f>'Cash Flow'!K27</f>
        <v>821.2457300065779</v>
      </c>
      <c r="L40" s="17">
        <f>'Cash Flow'!L27</f>
        <v>960.860730113385</v>
      </c>
      <c r="M40" s="17">
        <f>'Cash Flow'!M27</f>
        <v>1120.5373874412726</v>
      </c>
      <c r="N40" s="17">
        <f>'Cash Flow'!N27</f>
        <v>1310.1866984382375</v>
      </c>
    </row>
    <row r="41" spans="5:14" ht="12.75"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13" t="s">
        <v>6</v>
      </c>
      <c r="B42" s="13"/>
      <c r="E42" s="17">
        <f>(-SUM(E38:E40)-E36+'Tax and Depreciation'!E13)*Assumptions!$C$14</f>
        <v>-15.799999999999818</v>
      </c>
      <c r="F42" s="17">
        <f>(-SUM(F38:F40)-F36+'Tax and Depreciation'!F13)*Assumptions!$C$14</f>
        <v>-193.00999999999976</v>
      </c>
      <c r="G42" s="17">
        <f>(-SUM(G38:G40)-G36+'Tax and Depreciation'!G13)*Assumptions!$C$14</f>
        <v>-402.41722222222216</v>
      </c>
      <c r="H42" s="17">
        <f>(-SUM(H38:H40)-H36+'Tax and Depreciation'!H13)*Assumptions!$C$14</f>
        <v>-1574.019477579002</v>
      </c>
      <c r="I42" s="17">
        <f>(-SUM(I38:I40)-I36+'Tax and Depreciation'!I13)*Assumptions!$C$14</f>
        <v>-812.9230579702672</v>
      </c>
      <c r="J42" s="17">
        <f>(-SUM(J38:J40)-J36+'Tax and Depreciation'!J13)*Assumptions!$C$14</f>
        <v>-456.1556990954503</v>
      </c>
      <c r="K42" s="17">
        <f>(-SUM(K38:K40)-K36+'Tax and Depreciation'!K13)*Assumptions!$C$14</f>
        <v>228.50067064646421</v>
      </c>
      <c r="L42" s="17">
        <f>(-SUM(L38:L40)-L36+'Tax and Depreciation'!L13)*Assumptions!$C$14</f>
        <v>-795.1024267976873</v>
      </c>
      <c r="M42" s="17">
        <f>(-SUM(M38:M40)-M36+'Tax and Depreciation'!M13)*Assumptions!$C$14</f>
        <v>-904.2943720551355</v>
      </c>
      <c r="N42" s="17">
        <f>(-SUM(N38:N40)-N36+'Tax and Depreciation'!N13)*Assumptions!$C$14</f>
        <v>-1982.1558763985365</v>
      </c>
    </row>
    <row r="43" spans="5:14" ht="12.75"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6" ht="12.75">
      <c r="A44" s="13" t="s">
        <v>7</v>
      </c>
      <c r="B44" s="13"/>
      <c r="E44" s="17">
        <f>SUM(E38:E42)</f>
        <v>3608.5333333333333</v>
      </c>
      <c r="F44" s="17">
        <f aca="true" t="shared" si="6" ref="F44:N44">SUM(F38:F42)</f>
        <v>3440.773333333333</v>
      </c>
      <c r="G44" s="17">
        <f t="shared" si="6"/>
        <v>3493.4526851851847</v>
      </c>
      <c r="H44" s="17">
        <f t="shared" si="6"/>
        <v>5650.238156017671</v>
      </c>
      <c r="I44" s="17">
        <f t="shared" si="6"/>
        <v>3691.6316665139575</v>
      </c>
      <c r="J44" s="17">
        <f t="shared" si="6"/>
        <v>4097.138362993551</v>
      </c>
      <c r="K44" s="17">
        <f t="shared" si="6"/>
        <v>1803.0797339863752</v>
      </c>
      <c r="L44" s="17">
        <f t="shared" si="6"/>
        <v>3919.091636649031</v>
      </c>
      <c r="M44" s="17">
        <f t="shared" si="6"/>
        <v>3969.57634871947</v>
      </c>
      <c r="N44" s="17">
        <f t="shared" si="6"/>
        <v>6081.364155373034</v>
      </c>
      <c r="P4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R43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10" t="s">
        <v>88</v>
      </c>
    </row>
    <row r="4" spans="5:14" ht="12.75"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</row>
    <row r="5" spans="5:14" ht="12.75">
      <c r="E5" s="14">
        <v>1</v>
      </c>
      <c r="F5" s="14">
        <f>E5+1</f>
        <v>2</v>
      </c>
      <c r="G5" s="14">
        <f aca="true" t="shared" si="0" ref="G5:N5">F5+1</f>
        <v>3</v>
      </c>
      <c r="H5" s="14">
        <f t="shared" si="0"/>
        <v>4</v>
      </c>
      <c r="I5" s="14">
        <f t="shared" si="0"/>
        <v>5</v>
      </c>
      <c r="J5" s="14">
        <f t="shared" si="0"/>
        <v>6</v>
      </c>
      <c r="K5" s="14">
        <f t="shared" si="0"/>
        <v>7</v>
      </c>
      <c r="L5" s="14">
        <f t="shared" si="0"/>
        <v>8</v>
      </c>
      <c r="M5" s="14">
        <f t="shared" si="0"/>
        <v>9</v>
      </c>
      <c r="N5" s="14">
        <f t="shared" si="0"/>
        <v>10</v>
      </c>
    </row>
    <row r="7" spans="5:14" ht="12.75">
      <c r="E7" s="25">
        <f>Assumptions!E9</f>
        <v>2007</v>
      </c>
      <c r="F7" s="25">
        <f>Assumptions!F9</f>
        <v>2008</v>
      </c>
      <c r="G7" s="25">
        <f>Assumptions!G9</f>
        <v>2009</v>
      </c>
      <c r="H7" s="25">
        <f>Assumptions!H9</f>
        <v>2010</v>
      </c>
      <c r="I7" s="25">
        <f>Assumptions!I9</f>
        <v>2011</v>
      </c>
      <c r="J7" s="25">
        <f>Assumptions!J9</f>
        <v>2012</v>
      </c>
      <c r="K7" s="25">
        <f>Assumptions!K9</f>
        <v>2013</v>
      </c>
      <c r="L7" s="25">
        <f>Assumptions!L9</f>
        <v>2014</v>
      </c>
      <c r="M7" s="25">
        <f>Assumptions!M9</f>
        <v>2015</v>
      </c>
      <c r="N7" s="25">
        <f>Assumptions!N9</f>
        <v>2016</v>
      </c>
    </row>
    <row r="10" spans="1:18" ht="12.75">
      <c r="A10" s="13" t="s">
        <v>12</v>
      </c>
      <c r="B10" s="13"/>
      <c r="E10" s="17">
        <f>-'Capital Investment'!E65</f>
        <v>-9300</v>
      </c>
      <c r="F10" s="17">
        <f>-'Capital Investment'!F65</f>
        <v>0</v>
      </c>
      <c r="G10" s="17">
        <f>-'Capital Investment'!G65</f>
        <v>0</v>
      </c>
      <c r="H10" s="17">
        <f>-'Capital Investment'!H65</f>
        <v>1000</v>
      </c>
      <c r="I10" s="17">
        <f>-'Capital Investment'!I65</f>
        <v>0</v>
      </c>
      <c r="J10" s="17">
        <f>-'Capital Investment'!J65</f>
        <v>-5500</v>
      </c>
      <c r="K10" s="17">
        <f>-'Capital Investment'!K65</f>
        <v>1000</v>
      </c>
      <c r="L10" s="17">
        <f>-'Capital Investment'!L65</f>
        <v>0</v>
      </c>
      <c r="M10" s="17">
        <f>-'Capital Investment'!M65</f>
        <v>0</v>
      </c>
      <c r="N10" s="17">
        <f>-'Capital Investment'!N65</f>
        <v>1000</v>
      </c>
      <c r="R10" s="5"/>
    </row>
    <row r="11" spans="5:14" ht="12.75"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3" t="s">
        <v>56</v>
      </c>
      <c r="B12" s="13"/>
      <c r="C12" s="13"/>
      <c r="D12" s="13"/>
      <c r="E12" s="17">
        <f>'Profit and Loss'!E38-'Profit and Loss'!E36</f>
        <v>5000</v>
      </c>
      <c r="F12" s="17">
        <f>'Profit and Loss'!F38-'Profit and Loss'!F36</f>
        <v>5000</v>
      </c>
      <c r="G12" s="17">
        <f>'Profit and Loss'!G38-'Profit and Loss'!G36</f>
        <v>5000</v>
      </c>
      <c r="H12" s="17">
        <f>'Profit and Loss'!H38-'Profit and Loss'!H36</f>
        <v>8000</v>
      </c>
      <c r="I12" s="17">
        <f>'Profit and Loss'!I38-'Profit and Loss'!I36</f>
        <v>5000</v>
      </c>
      <c r="J12" s="17">
        <f>'Profit and Loss'!J38-'Profit and Loss'!J36</f>
        <v>5000</v>
      </c>
      <c r="K12" s="17">
        <f>'Profit and Loss'!K38-'Profit and Loss'!K36</f>
        <v>1999.9999999999998</v>
      </c>
      <c r="L12" s="17">
        <f>'Profit and Loss'!L38-'Profit and Loss'!L36</f>
        <v>5000</v>
      </c>
      <c r="M12" s="17">
        <f>'Profit and Loss'!M38-'Profit and Loss'!M36</f>
        <v>5000</v>
      </c>
      <c r="N12" s="17">
        <f>'Profit and Loss'!N38-'Profit and Loss'!N36</f>
        <v>8000</v>
      </c>
    </row>
    <row r="13" spans="5:14" ht="12.75"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3" t="s">
        <v>6</v>
      </c>
      <c r="E14" s="17">
        <v>0</v>
      </c>
      <c r="F14" s="17">
        <f>'Profit and Loss'!E42</f>
        <v>-15.799999999999818</v>
      </c>
      <c r="G14" s="17">
        <f>'Profit and Loss'!F42</f>
        <v>-193.00999999999976</v>
      </c>
      <c r="H14" s="17">
        <f>'Profit and Loss'!G42</f>
        <v>-402.41722222222216</v>
      </c>
      <c r="I14" s="17">
        <f>'Profit and Loss'!H42</f>
        <v>-1574.019477579002</v>
      </c>
      <c r="J14" s="17">
        <f>'Profit and Loss'!I42</f>
        <v>-812.9230579702672</v>
      </c>
      <c r="K14" s="17">
        <f>'Profit and Loss'!J42</f>
        <v>-456.1556990954503</v>
      </c>
      <c r="L14" s="17">
        <f>'Profit and Loss'!K42</f>
        <v>228.50067064646421</v>
      </c>
      <c r="M14" s="17">
        <f>'Profit and Loss'!L42</f>
        <v>-795.1024267976873</v>
      </c>
      <c r="N14" s="17">
        <f>'Profit and Loss'!M42</f>
        <v>-904.2943720551355</v>
      </c>
    </row>
    <row r="15" spans="5:14" ht="12.75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3" t="s">
        <v>36</v>
      </c>
      <c r="B16" s="13"/>
      <c r="E16" s="17">
        <f>SUM(E10:E14)</f>
        <v>-4300</v>
      </c>
      <c r="F16" s="17">
        <f aca="true" t="shared" si="1" ref="F16:N16">SUM(F10:F14)</f>
        <v>4984.2</v>
      </c>
      <c r="G16" s="17">
        <f t="shared" si="1"/>
        <v>4806.99</v>
      </c>
      <c r="H16" s="17">
        <f t="shared" si="1"/>
        <v>8597.582777777778</v>
      </c>
      <c r="I16" s="17">
        <f t="shared" si="1"/>
        <v>3425.980522420998</v>
      </c>
      <c r="J16" s="17">
        <f t="shared" si="1"/>
        <v>-1312.923057970267</v>
      </c>
      <c r="K16" s="17">
        <f t="shared" si="1"/>
        <v>2543.8443009045495</v>
      </c>
      <c r="L16" s="17">
        <f t="shared" si="1"/>
        <v>5228.500670646465</v>
      </c>
      <c r="M16" s="17">
        <f t="shared" si="1"/>
        <v>4204.897573202313</v>
      </c>
      <c r="N16" s="17">
        <f t="shared" si="1"/>
        <v>8095.705627944864</v>
      </c>
    </row>
    <row r="17" spans="5:14" ht="12.75"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13" t="s">
        <v>37</v>
      </c>
      <c r="B18" s="13"/>
      <c r="C18" s="13"/>
      <c r="E18" s="17">
        <f>E16</f>
        <v>-4300</v>
      </c>
      <c r="F18" s="17">
        <f>F16/((1+Assumptions!$C$4)^(F5-1))</f>
        <v>4614.999999999999</v>
      </c>
      <c r="G18" s="17">
        <f>G16/((1+Assumptions!$C$4)^(G5-1))</f>
        <v>4121.219135802468</v>
      </c>
      <c r="H18" s="17">
        <f>H16/((1+Assumptions!$C$4)^(H5-1))</f>
        <v>6825.038403839748</v>
      </c>
      <c r="I18" s="17">
        <f>I16/((1+Assumptions!$C$4)^(I5-1))</f>
        <v>2518.1979590786223</v>
      </c>
      <c r="J18" s="17">
        <f>J16/((1+Assumptions!$C$4)^(J5-1))</f>
        <v>-893.5533722527358</v>
      </c>
      <c r="K18" s="17">
        <f>K16/((1+Assumptions!$C$4)^(K5-1))</f>
        <v>1603.053413949732</v>
      </c>
      <c r="L18" s="17">
        <f>L16/((1+Assumptions!$C$4)^(L5-1))</f>
        <v>3050.7799229438374</v>
      </c>
      <c r="M18" s="17">
        <f>M16/((1+Assumptions!$C$4)^(M5-1))</f>
        <v>2271.7753213190786</v>
      </c>
      <c r="N18" s="17">
        <f>N16/((1+Assumptions!$C$4)^(N5-1))</f>
        <v>4049.868378579758</v>
      </c>
    </row>
    <row r="19" spans="5:14" ht="12.75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12.75"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3" t="s">
        <v>38</v>
      </c>
      <c r="E21" s="17">
        <f>SUM(E18:N18)</f>
        <v>23861.379163260506</v>
      </c>
      <c r="F21" s="3"/>
      <c r="G21" s="3"/>
      <c r="H21" s="3"/>
      <c r="I21" s="2"/>
      <c r="J21" s="2"/>
      <c r="K21" s="2"/>
      <c r="L21" s="2"/>
      <c r="M21" s="2"/>
      <c r="N21" s="2"/>
    </row>
    <row r="22" spans="5:14" ht="12.75"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13" t="s">
        <v>10</v>
      </c>
      <c r="E23" s="26">
        <f>IF(E21&gt;0,IRR(E18:N18,5%),"n/a")</f>
        <v>1.0222712565185965</v>
      </c>
      <c r="F23" s="2"/>
      <c r="G23" s="2"/>
      <c r="H23" s="2"/>
      <c r="I23" s="2"/>
      <c r="J23" s="2"/>
      <c r="K23" s="2"/>
      <c r="L23" s="2"/>
      <c r="M23" s="2"/>
      <c r="N23" s="2"/>
    </row>
    <row r="24" spans="5:14" ht="12.75"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5:14" ht="12.75"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5:14" ht="12.75"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13" t="s">
        <v>40</v>
      </c>
      <c r="B27" s="13"/>
      <c r="C27" s="13"/>
      <c r="E27" s="17">
        <f>E18/2*Assumptions!$C$16</f>
        <v>-129</v>
      </c>
      <c r="F27" s="17">
        <f>(SUM(E18)+F18/2)*Assumptions!$C$16</f>
        <v>-119.55000000000003</v>
      </c>
      <c r="G27" s="17">
        <f>(SUM($E$18:F18)+G18/2)*Assumptions!$C$16</f>
        <v>142.536574074074</v>
      </c>
      <c r="H27" s="17">
        <f>(SUM($E$18:G18)+H18/2)*Assumptions!$C$16</f>
        <v>470.92430026334046</v>
      </c>
      <c r="I27" s="17">
        <f>(SUM($E$18:H18)+I18/2)*Assumptions!$C$16</f>
        <v>751.2213911508915</v>
      </c>
      <c r="J27" s="17">
        <f>(SUM($E$18:I18)+J18/2)*Assumptions!$C$16</f>
        <v>799.960728755668</v>
      </c>
      <c r="K27" s="17">
        <f>(SUM($E$18:J18)+K18/2)*Assumptions!$C$16</f>
        <v>821.2457300065779</v>
      </c>
      <c r="L27" s="17">
        <f>(SUM($E$18:K18)+L18/2)*Assumptions!$C$16</f>
        <v>960.860730113385</v>
      </c>
      <c r="M27" s="17">
        <f>(SUM($E$18:L18)+M18/2)*Assumptions!$C$16</f>
        <v>1120.5373874412726</v>
      </c>
      <c r="N27" s="17">
        <f>(SUM($E$18:M18)+N18/2)*Assumptions!$C$16</f>
        <v>1310.1866984382375</v>
      </c>
    </row>
    <row r="28" spans="5:14" ht="12.75"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13" t="s">
        <v>41</v>
      </c>
      <c r="B29" s="13"/>
      <c r="E29" s="17">
        <f>SUM($E$10:$N$10)+SUM($E$12:E12)+SUM($E$14:E14)</f>
        <v>-6800</v>
      </c>
      <c r="F29" s="17">
        <f>SUM($E$10:$N$10)+SUM($E$12:F12)+SUM($E$14:F14)</f>
        <v>-1815.7999999999997</v>
      </c>
      <c r="G29" s="17">
        <f>SUM($E$10:$N$10)+SUM($E$12:G12)+SUM($E$14:G14)</f>
        <v>2991.1900000000005</v>
      </c>
      <c r="H29" s="17">
        <f>SUM($E$10:$N$10)+SUM($E$12:H12)+SUM($E$14:H14)</f>
        <v>10588.772777777778</v>
      </c>
      <c r="I29" s="17">
        <f>SUM($E$10:$N$10)+SUM($E$12:I12)+SUM($E$14:I14)</f>
        <v>14014.753300198776</v>
      </c>
      <c r="J29" s="17">
        <f>SUM($E$10:$N$10)+SUM($E$12:J12)+SUM($E$14:J14)</f>
        <v>18201.83024222851</v>
      </c>
      <c r="K29" s="17">
        <f>SUM($E$10:$N$10)+SUM($E$12:K12)+SUM($E$14:K14)</f>
        <v>19745.67454313306</v>
      </c>
      <c r="L29" s="17">
        <f>SUM($E$10:$N$10)+SUM($E$12:L12)+SUM($E$14:L14)</f>
        <v>24974.175213779523</v>
      </c>
      <c r="M29" s="17">
        <f>SUM($E$10:$N$10)+SUM($E$12:M12)+SUM($E$14:M14)</f>
        <v>29179.072786981837</v>
      </c>
      <c r="N29" s="17">
        <f>SUM($E$10:$N$10)+SUM($E$12:N12)+SUM($E$14:N14)</f>
        <v>36274.7784149267</v>
      </c>
    </row>
    <row r="30" spans="5:14" ht="12.75"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13" t="s">
        <v>42</v>
      </c>
      <c r="E31" s="17">
        <f>COUNTIF(E29:N29,"&lt;1")+1</f>
        <v>3</v>
      </c>
      <c r="F31" s="2"/>
      <c r="G31" s="2"/>
      <c r="H31" s="2"/>
      <c r="I31" s="2"/>
      <c r="J31" s="2"/>
      <c r="K31" s="2"/>
      <c r="L31" s="2"/>
      <c r="M31" s="2"/>
      <c r="N31" s="2"/>
    </row>
    <row r="32" spans="5:14" ht="12.75"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13" t="s">
        <v>12</v>
      </c>
      <c r="B33" s="13"/>
      <c r="E33" s="17">
        <f>E10</f>
        <v>-9300</v>
      </c>
      <c r="F33" s="17">
        <f aca="true" t="shared" si="2" ref="F33:N33">F10</f>
        <v>0</v>
      </c>
      <c r="G33" s="17">
        <f t="shared" si="2"/>
        <v>0</v>
      </c>
      <c r="H33" s="17">
        <f t="shared" si="2"/>
        <v>1000</v>
      </c>
      <c r="I33" s="17">
        <f t="shared" si="2"/>
        <v>0</v>
      </c>
      <c r="J33" s="17">
        <f t="shared" si="2"/>
        <v>-5500</v>
      </c>
      <c r="K33" s="17">
        <f t="shared" si="2"/>
        <v>1000</v>
      </c>
      <c r="L33" s="17">
        <f t="shared" si="2"/>
        <v>0</v>
      </c>
      <c r="M33" s="17">
        <f t="shared" si="2"/>
        <v>0</v>
      </c>
      <c r="N33" s="17">
        <f t="shared" si="2"/>
        <v>1000</v>
      </c>
    </row>
    <row r="35" spans="1:14" ht="12.75">
      <c r="A35" s="13" t="s">
        <v>46</v>
      </c>
      <c r="B35" s="13"/>
      <c r="C35" s="13"/>
      <c r="E35" s="17">
        <f>E33</f>
        <v>-9300</v>
      </c>
      <c r="F35" s="17">
        <f>F33/((1+Assumptions!$C$4)^(F5-1))</f>
        <v>0</v>
      </c>
      <c r="G35" s="17">
        <f>G33/((1+Assumptions!$C$4)^(G5-1))</f>
        <v>0</v>
      </c>
      <c r="H35" s="17">
        <f>H33/((1+Assumptions!$C$4)^(H5-1))</f>
        <v>793.8322410201696</v>
      </c>
      <c r="I35" s="17">
        <f>I33/((1+Assumptions!$C$4)^(I5-1))</f>
        <v>0</v>
      </c>
      <c r="J35" s="17">
        <f>J33/((1+Assumptions!$C$4)^(J5-1))</f>
        <v>-3743.2075836856416</v>
      </c>
      <c r="K35" s="17">
        <f>K33/((1+Assumptions!$C$4)^(K5-1))</f>
        <v>630.1696268831046</v>
      </c>
      <c r="L35" s="17">
        <f>L33/((1+Assumptions!$C$4)^(L5-1))</f>
        <v>0</v>
      </c>
      <c r="M35" s="17">
        <f>M33/((1+Assumptions!$C$4)^(M5-1))</f>
        <v>0</v>
      </c>
      <c r="N35" s="17">
        <f>N33/((1+Assumptions!$C$4)^(N5-1))</f>
        <v>500.248967131459</v>
      </c>
    </row>
    <row r="37" spans="1:14" ht="12.75">
      <c r="A37" s="13" t="s">
        <v>47</v>
      </c>
      <c r="B37" s="13"/>
      <c r="E37" s="17">
        <f>SUM(E12:E14)</f>
        <v>5000</v>
      </c>
      <c r="F37" s="17">
        <f aca="true" t="shared" si="3" ref="F37:N37">SUM(F12:F14)</f>
        <v>4984.2</v>
      </c>
      <c r="G37" s="17">
        <f t="shared" si="3"/>
        <v>4806.99</v>
      </c>
      <c r="H37" s="17">
        <f t="shared" si="3"/>
        <v>7597.582777777778</v>
      </c>
      <c r="I37" s="17">
        <f t="shared" si="3"/>
        <v>3425.980522420998</v>
      </c>
      <c r="J37" s="17">
        <f t="shared" si="3"/>
        <v>4187.076942029733</v>
      </c>
      <c r="K37" s="17">
        <f t="shared" si="3"/>
        <v>1543.8443009045495</v>
      </c>
      <c r="L37" s="17">
        <f t="shared" si="3"/>
        <v>5228.500670646465</v>
      </c>
      <c r="M37" s="17">
        <f t="shared" si="3"/>
        <v>4204.897573202313</v>
      </c>
      <c r="N37" s="17">
        <f t="shared" si="3"/>
        <v>7095.705627944864</v>
      </c>
    </row>
    <row r="39" spans="1:14" ht="12.75">
      <c r="A39" s="13" t="s">
        <v>48</v>
      </c>
      <c r="B39" s="13"/>
      <c r="E39" s="17">
        <f>E37</f>
        <v>5000</v>
      </c>
      <c r="F39" s="17">
        <f>F37/((1+Assumptions!$C$4)^(F5-1))</f>
        <v>4614.999999999999</v>
      </c>
      <c r="G39" s="17">
        <f>G37/((1+Assumptions!$C$4)^(G5-1))</f>
        <v>4121.219135802468</v>
      </c>
      <c r="H39" s="17">
        <f>H37/((1+Assumptions!$C$4)^(H5-1))</f>
        <v>6031.206162819578</v>
      </c>
      <c r="I39" s="17">
        <f>I37/((1+Assumptions!$C$4)^(I5-1))</f>
        <v>2518.1979590786223</v>
      </c>
      <c r="J39" s="17">
        <f>J37/((1+Assumptions!$C$4)^(J5-1))</f>
        <v>2849.654211432906</v>
      </c>
      <c r="K39" s="17">
        <f>K37/((1+Assumptions!$C$4)^(K5-1))</f>
        <v>972.8837870666274</v>
      </c>
      <c r="L39" s="17">
        <f>L37/((1+Assumptions!$C$4)^(L5-1))</f>
        <v>3050.7799229438374</v>
      </c>
      <c r="M39" s="17">
        <f>M37/((1+Assumptions!$C$4)^(M5-1))</f>
        <v>2271.7753213190786</v>
      </c>
      <c r="N39" s="17">
        <f>N37/((1+Assumptions!$C$4)^(N5-1))</f>
        <v>3549.619411448299</v>
      </c>
    </row>
    <row r="41" spans="1:14" ht="12.75">
      <c r="A41" s="13" t="s">
        <v>49</v>
      </c>
      <c r="B41" s="13"/>
      <c r="C41" s="13"/>
      <c r="E41" s="17">
        <f>SUM($E$35:$N$35)+SUM($E$39:E39)</f>
        <v>-6118.9567486509095</v>
      </c>
      <c r="F41" s="17">
        <f>SUM($E$35:$N$35)+SUM($E$39:F39)</f>
        <v>-1503.9567486509095</v>
      </c>
      <c r="G41" s="17">
        <f>SUM($E$35:$N$35)+SUM($E$39:G39)</f>
        <v>2617.262387151559</v>
      </c>
      <c r="H41" s="17">
        <f>SUM($E$35:$N$35)+SUM($E$39:H39)</f>
        <v>8648.468549971136</v>
      </c>
      <c r="I41" s="17">
        <f>SUM($E$35:$N$35)+SUM($E$39:I39)</f>
        <v>11166.666509049757</v>
      </c>
      <c r="J41" s="17">
        <f>SUM($E$35:$N$35)+SUM($E$39:J39)</f>
        <v>14016.320720482663</v>
      </c>
      <c r="K41" s="17">
        <f>SUM($E$35:$N$35)+SUM($E$39:K39)</f>
        <v>14989.204507549292</v>
      </c>
      <c r="L41" s="17">
        <f>SUM($E$35:$N$35)+SUM($E$39:L39)</f>
        <v>18039.984430493132</v>
      </c>
      <c r="M41" s="17">
        <f>SUM($E$35:$N$35)+SUM($E$39:M39)</f>
        <v>20311.759751812206</v>
      </c>
      <c r="N41" s="17">
        <f>SUM($E$35:$N$35)+SUM($E$39:N39)</f>
        <v>23861.379163260506</v>
      </c>
    </row>
    <row r="43" spans="1:5" ht="12.75">
      <c r="A43" s="13" t="s">
        <v>11</v>
      </c>
      <c r="B43" s="13"/>
      <c r="E43" s="17">
        <f>COUNTIF(E41:N41,"&lt;1")+1</f>
        <v>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P43"/>
  <sheetViews>
    <sheetView workbookViewId="0" topLeftCell="A17">
      <selection activeCell="J30" sqref="J30"/>
    </sheetView>
  </sheetViews>
  <sheetFormatPr defaultColWidth="9.140625" defaultRowHeight="12.75"/>
  <sheetData>
    <row r="1" ht="15.75">
      <c r="A1" s="10" t="s">
        <v>89</v>
      </c>
    </row>
    <row r="4" spans="5:14" ht="12.75"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</row>
    <row r="5" spans="5:14" ht="12.75"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</row>
    <row r="7" spans="5:14" ht="12.75">
      <c r="E7" s="14">
        <f>Assumptions!E9</f>
        <v>2007</v>
      </c>
      <c r="F7" s="14">
        <f>Assumptions!F9</f>
        <v>2008</v>
      </c>
      <c r="G7" s="14">
        <f>Assumptions!G9</f>
        <v>2009</v>
      </c>
      <c r="H7" s="14">
        <f>Assumptions!H9</f>
        <v>2010</v>
      </c>
      <c r="I7" s="14">
        <f>Assumptions!I9</f>
        <v>2011</v>
      </c>
      <c r="J7" s="14">
        <f>Assumptions!J9</f>
        <v>2012</v>
      </c>
      <c r="K7" s="14">
        <f>Assumptions!K9</f>
        <v>2013</v>
      </c>
      <c r="L7" s="14">
        <f>Assumptions!L9</f>
        <v>2014</v>
      </c>
      <c r="M7" s="14">
        <f>Assumptions!M9</f>
        <v>2015</v>
      </c>
      <c r="N7" s="14">
        <f>Assumptions!N9</f>
        <v>2016</v>
      </c>
    </row>
    <row r="9" spans="1:15" ht="12.75">
      <c r="A9" s="13" t="s">
        <v>15</v>
      </c>
      <c r="B9" s="13"/>
      <c r="C9" s="13"/>
      <c r="E9" s="17">
        <f>0</f>
        <v>0</v>
      </c>
      <c r="F9" s="17">
        <f>E15</f>
        <v>6975</v>
      </c>
      <c r="G9" s="17">
        <f aca="true" t="shared" si="0" ref="G9:N9">F15</f>
        <v>5231.25</v>
      </c>
      <c r="H9" s="17">
        <f t="shared" si="0"/>
        <v>3923.4375</v>
      </c>
      <c r="I9" s="17">
        <f t="shared" si="0"/>
        <v>2192.578125</v>
      </c>
      <c r="J9" s="17">
        <f t="shared" si="0"/>
        <v>1644.43359375</v>
      </c>
      <c r="K9" s="17">
        <f t="shared" si="0"/>
        <v>5358.3251953125</v>
      </c>
      <c r="L9" s="17">
        <f t="shared" si="0"/>
        <v>3268.743896484375</v>
      </c>
      <c r="M9" s="17">
        <f t="shared" si="0"/>
        <v>2451.5579223632812</v>
      </c>
      <c r="N9" s="17">
        <f t="shared" si="0"/>
        <v>1838.668441772461</v>
      </c>
      <c r="O9" s="2"/>
    </row>
    <row r="10" spans="5:15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3" t="s">
        <v>13</v>
      </c>
      <c r="B11" s="13"/>
      <c r="E11" s="17">
        <f>'Capital Investment'!E65</f>
        <v>9300</v>
      </c>
      <c r="F11" s="17">
        <f>'Capital Investment'!F65</f>
        <v>0</v>
      </c>
      <c r="G11" s="17">
        <f>'Capital Investment'!G65</f>
        <v>0</v>
      </c>
      <c r="H11" s="17">
        <f>'Capital Investment'!H65</f>
        <v>-1000</v>
      </c>
      <c r="I11" s="17">
        <f>'Capital Investment'!I65</f>
        <v>0</v>
      </c>
      <c r="J11" s="17">
        <f>'Capital Investment'!J65</f>
        <v>5500</v>
      </c>
      <c r="K11" s="17">
        <f>'Capital Investment'!K65</f>
        <v>-1000</v>
      </c>
      <c r="L11" s="17">
        <f>'Capital Investment'!L65</f>
        <v>0</v>
      </c>
      <c r="M11" s="17">
        <f>'Capital Investment'!M65</f>
        <v>0</v>
      </c>
      <c r="N11" s="17">
        <f>'Capital Investment'!N65</f>
        <v>-1000</v>
      </c>
      <c r="O11" s="2"/>
    </row>
    <row r="12" spans="5:15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3" t="s">
        <v>14</v>
      </c>
      <c r="E13" s="17">
        <f>(E11+E9)*0.25</f>
        <v>2325</v>
      </c>
      <c r="F13" s="17">
        <f>(F11+F9)*0.25</f>
        <v>1743.75</v>
      </c>
      <c r="G13" s="17">
        <f aca="true" t="shared" si="1" ref="G13:N13">(G11+G9)*0.25</f>
        <v>1307.8125</v>
      </c>
      <c r="H13" s="17">
        <f t="shared" si="1"/>
        <v>730.859375</v>
      </c>
      <c r="I13" s="17">
        <f t="shared" si="1"/>
        <v>548.14453125</v>
      </c>
      <c r="J13" s="17">
        <f t="shared" si="1"/>
        <v>1786.1083984375</v>
      </c>
      <c r="K13" s="17">
        <f t="shared" si="1"/>
        <v>1089.581298828125</v>
      </c>
      <c r="L13" s="17">
        <f t="shared" si="1"/>
        <v>817.1859741210938</v>
      </c>
      <c r="M13" s="17">
        <f t="shared" si="1"/>
        <v>612.8894805908203</v>
      </c>
      <c r="N13" s="17">
        <f t="shared" si="1"/>
        <v>209.66711044311523</v>
      </c>
      <c r="O13" s="2"/>
    </row>
    <row r="14" spans="5:15" ht="12.7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3" t="s">
        <v>16</v>
      </c>
      <c r="B15" s="13"/>
      <c r="C15" s="13"/>
      <c r="E15" s="17">
        <f>E9+E11-E13</f>
        <v>6975</v>
      </c>
      <c r="F15" s="17">
        <f>F9+F11-F13</f>
        <v>5231.25</v>
      </c>
      <c r="G15" s="17">
        <f aca="true" t="shared" si="2" ref="G15:N15">G9+G11-G13</f>
        <v>3923.4375</v>
      </c>
      <c r="H15" s="17">
        <f t="shared" si="2"/>
        <v>2192.578125</v>
      </c>
      <c r="I15" s="17">
        <f t="shared" si="2"/>
        <v>1644.43359375</v>
      </c>
      <c r="J15" s="17">
        <f t="shared" si="2"/>
        <v>5358.3251953125</v>
      </c>
      <c r="K15" s="17">
        <f t="shared" si="2"/>
        <v>3268.743896484375</v>
      </c>
      <c r="L15" s="17">
        <f t="shared" si="2"/>
        <v>2451.5579223632812</v>
      </c>
      <c r="M15" s="17">
        <f t="shared" si="2"/>
        <v>1838.668441772461</v>
      </c>
      <c r="N15" s="17">
        <f t="shared" si="2"/>
        <v>629.0013313293457</v>
      </c>
      <c r="O15" s="2"/>
    </row>
    <row r="16" spans="5:15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5:1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5:15" ht="12.7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5:15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3"/>
      <c r="B20" s="13"/>
      <c r="C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 ht="12.75">
      <c r="A21" s="13" t="s">
        <v>17</v>
      </c>
      <c r="B21" s="13"/>
      <c r="C21" s="13"/>
      <c r="E21" s="17">
        <v>0</v>
      </c>
      <c r="F21" s="17">
        <f>E27</f>
        <v>8053.333333333333</v>
      </c>
      <c r="G21" s="17">
        <f aca="true" t="shared" si="3" ref="G21:N21">F27</f>
        <v>6806.666666666666</v>
      </c>
      <c r="H21" s="17">
        <f t="shared" si="3"/>
        <v>5559.999999999999</v>
      </c>
      <c r="I21" s="17">
        <f t="shared" si="3"/>
        <v>3313.333333333332</v>
      </c>
      <c r="J21" s="17">
        <f t="shared" si="3"/>
        <v>2066.666666666665</v>
      </c>
      <c r="K21" s="17">
        <f t="shared" si="3"/>
        <v>6319.999999999998</v>
      </c>
      <c r="L21" s="17">
        <f t="shared" si="3"/>
        <v>4073.333333333331</v>
      </c>
      <c r="M21" s="17">
        <f t="shared" si="3"/>
        <v>2826.6666666666642</v>
      </c>
      <c r="N21" s="17">
        <f t="shared" si="3"/>
        <v>1579.9999999999975</v>
      </c>
      <c r="O21" s="2"/>
      <c r="P21" s="2"/>
    </row>
    <row r="22" spans="5:16" ht="12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3" t="s">
        <v>12</v>
      </c>
      <c r="B23" s="13"/>
      <c r="E23" s="17">
        <f>'Capital Investment'!E65</f>
        <v>9300</v>
      </c>
      <c r="F23" s="17">
        <f>'Capital Investment'!F65</f>
        <v>0</v>
      </c>
      <c r="G23" s="17">
        <f>'Capital Investment'!G65</f>
        <v>0</v>
      </c>
      <c r="H23" s="17">
        <f>'Capital Investment'!H65</f>
        <v>-1000</v>
      </c>
      <c r="I23" s="17">
        <f>'Capital Investment'!I65</f>
        <v>0</v>
      </c>
      <c r="J23" s="17">
        <f>'Capital Investment'!J65</f>
        <v>5500</v>
      </c>
      <c r="K23" s="17">
        <f>'Capital Investment'!K65</f>
        <v>-1000</v>
      </c>
      <c r="L23" s="17">
        <f>'Capital Investment'!L65</f>
        <v>0</v>
      </c>
      <c r="M23" s="17">
        <f>'Capital Investment'!M65</f>
        <v>0</v>
      </c>
      <c r="N23" s="17">
        <f>'Capital Investment'!N65</f>
        <v>-1000</v>
      </c>
      <c r="O23" s="2"/>
      <c r="P23" s="2"/>
    </row>
    <row r="24" spans="1:16" ht="12.75">
      <c r="A24" s="13"/>
      <c r="B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3" t="s">
        <v>3</v>
      </c>
      <c r="B25" s="13"/>
      <c r="E25" s="17">
        <f>-E42</f>
        <v>-1246.6666666666667</v>
      </c>
      <c r="F25" s="17">
        <f aca="true" t="shared" si="4" ref="F25:N25">-F42</f>
        <v>-1246.6666666666667</v>
      </c>
      <c r="G25" s="17">
        <f t="shared" si="4"/>
        <v>-1246.6666666666667</v>
      </c>
      <c r="H25" s="17">
        <f t="shared" si="4"/>
        <v>-1246.6666666666667</v>
      </c>
      <c r="I25" s="17">
        <f t="shared" si="4"/>
        <v>-1246.6666666666667</v>
      </c>
      <c r="J25" s="17">
        <f t="shared" si="4"/>
        <v>-1246.6666666666667</v>
      </c>
      <c r="K25" s="17">
        <f t="shared" si="4"/>
        <v>-1246.6666666666667</v>
      </c>
      <c r="L25" s="17">
        <f t="shared" si="4"/>
        <v>-1246.6666666666667</v>
      </c>
      <c r="M25" s="17">
        <f t="shared" si="4"/>
        <v>-1246.6666666666667</v>
      </c>
      <c r="N25" s="17">
        <f t="shared" si="4"/>
        <v>-1246.6666666666667</v>
      </c>
      <c r="O25" s="2"/>
      <c r="P25" s="2"/>
    </row>
    <row r="26" spans="5:16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3" t="s">
        <v>18</v>
      </c>
      <c r="B27" s="13"/>
      <c r="E27" s="17">
        <f>SUM(E21:E25)</f>
        <v>8053.333333333333</v>
      </c>
      <c r="F27" s="17">
        <f>SUM(F21:F25)</f>
        <v>6806.666666666666</v>
      </c>
      <c r="G27" s="17">
        <f aca="true" t="shared" si="5" ref="G27:N27">SUM(G21:G25)</f>
        <v>5559.999999999999</v>
      </c>
      <c r="H27" s="17">
        <f t="shared" si="5"/>
        <v>3313.333333333332</v>
      </c>
      <c r="I27" s="17">
        <f t="shared" si="5"/>
        <v>2066.666666666665</v>
      </c>
      <c r="J27" s="17">
        <f t="shared" si="5"/>
        <v>6319.999999999998</v>
      </c>
      <c r="K27" s="17">
        <f t="shared" si="5"/>
        <v>4073.333333333331</v>
      </c>
      <c r="L27" s="17">
        <f t="shared" si="5"/>
        <v>2826.6666666666642</v>
      </c>
      <c r="M27" s="17">
        <f t="shared" si="5"/>
        <v>1579.9999999999975</v>
      </c>
      <c r="N27" s="17">
        <f t="shared" si="5"/>
        <v>-666.6666666666692</v>
      </c>
      <c r="O27" s="2"/>
      <c r="P27" s="2"/>
    </row>
    <row r="28" spans="5:15" ht="12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" ht="12.75">
      <c r="A29" s="13"/>
      <c r="B29" s="13"/>
    </row>
    <row r="30" spans="1:2" ht="12.75">
      <c r="A30" s="13" t="s">
        <v>3</v>
      </c>
      <c r="B30" s="13"/>
    </row>
    <row r="32" spans="5:15" ht="12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5:15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13" t="s">
        <v>29</v>
      </c>
      <c r="B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3" t="s">
        <v>31</v>
      </c>
      <c r="C36" s="13"/>
      <c r="E36" s="17">
        <f>'Capital Investment'!E20/10</f>
        <v>480</v>
      </c>
      <c r="F36" s="17">
        <f>SUM('Capital Investment'!$E$20:F20)/10</f>
        <v>480</v>
      </c>
      <c r="G36" s="17">
        <f>SUM('Capital Investment'!$E$20:G20)/10</f>
        <v>480</v>
      </c>
      <c r="H36" s="17">
        <f>SUM('Capital Investment'!$E$20:H20)/10</f>
        <v>480</v>
      </c>
      <c r="I36" s="17">
        <f>SUM('Capital Investment'!$E$20:I20)/10</f>
        <v>480</v>
      </c>
      <c r="J36" s="17">
        <f>SUM('Capital Investment'!$E$20:J20)/10</f>
        <v>480</v>
      </c>
      <c r="K36" s="17">
        <f>SUM('Capital Investment'!$E$20:K20)/10</f>
        <v>480</v>
      </c>
      <c r="L36" s="17">
        <f>SUM('Capital Investment'!$E$20:L20)/10</f>
        <v>480</v>
      </c>
      <c r="M36" s="17">
        <f>SUM('Capital Investment'!$E$20:M20)/10</f>
        <v>480</v>
      </c>
      <c r="N36" s="17">
        <f>SUM('Capital Investment'!$E$20:N20)/10</f>
        <v>480</v>
      </c>
      <c r="O36" s="2"/>
    </row>
    <row r="37" spans="2:15" ht="12.75">
      <c r="B37" s="13" t="s">
        <v>32</v>
      </c>
      <c r="C37" s="13"/>
      <c r="E37" s="17">
        <f>'Capital Investment'!E34/7</f>
        <v>0</v>
      </c>
      <c r="F37" s="17">
        <f>SUM('Capital Investment'!E$34:F34)/7</f>
        <v>0</v>
      </c>
      <c r="G37" s="17">
        <f>SUM('Capital Investment'!$E34:G34)/7</f>
        <v>0</v>
      </c>
      <c r="H37" s="17">
        <f>SUM('Capital Investment'!$E34:H34)/7</f>
        <v>0</v>
      </c>
      <c r="I37" s="17">
        <f>SUM('Capital Investment'!$E34:I34)/7</f>
        <v>0</v>
      </c>
      <c r="J37" s="17">
        <f>SUM('Capital Investment'!$E34:J34)/7</f>
        <v>0</v>
      </c>
      <c r="K37" s="17">
        <f>SUM('Capital Investment'!$E34:K34)/7</f>
        <v>0</v>
      </c>
      <c r="L37" s="17">
        <f>SUM('Capital Investment'!$E34:L34)/7</f>
        <v>0</v>
      </c>
      <c r="M37" s="17">
        <f>SUM('Capital Investment'!$E34:M34)/7</f>
        <v>0</v>
      </c>
      <c r="N37" s="17">
        <f>SUM('Capital Investment'!$E34:N34)/7</f>
        <v>0</v>
      </c>
      <c r="O37" s="2"/>
    </row>
    <row r="38" spans="2:15" ht="12.75">
      <c r="B38" s="13" t="s">
        <v>33</v>
      </c>
      <c r="C38" s="13"/>
      <c r="E38" s="17">
        <f>'Capital Investment'!E48/5</f>
        <v>1100</v>
      </c>
      <c r="F38" s="17">
        <f>SUM('Capital Investment'!$E$48:F48)/5</f>
        <v>1100</v>
      </c>
      <c r="G38" s="17">
        <f>SUM('Capital Investment'!$E$48:G48)/5</f>
        <v>1100</v>
      </c>
      <c r="H38" s="17">
        <f>SUM('Capital Investment'!$E$48:H48)/5</f>
        <v>1100</v>
      </c>
      <c r="I38" s="17">
        <f>SUM('Capital Investment'!$E$48:I48)/5</f>
        <v>1100</v>
      </c>
      <c r="J38" s="17">
        <f>SUM('Capital Investment'!$F$48:J48)/5</f>
        <v>1100</v>
      </c>
      <c r="K38" s="17">
        <f>SUM('Capital Investment'!$G$48:K48)/5</f>
        <v>1100</v>
      </c>
      <c r="L38" s="17">
        <f>SUM('Capital Investment'!$H$48:L48)/5</f>
        <v>1100</v>
      </c>
      <c r="M38" s="17">
        <f>SUM('Capital Investment'!$I$48:M48)/5</f>
        <v>1100</v>
      </c>
      <c r="N38" s="17">
        <f>SUM('Capital Investment'!$J$48:N48)/5</f>
        <v>1100</v>
      </c>
      <c r="O38" s="2"/>
    </row>
    <row r="39" spans="2:15" ht="12.75">
      <c r="B39" s="13" t="s">
        <v>34</v>
      </c>
      <c r="C39" s="13"/>
      <c r="E39" s="17">
        <f>'Capital Investment'!E62/3</f>
        <v>-333.3333333333333</v>
      </c>
      <c r="F39" s="17">
        <f>SUM('Capital Investment'!$E$62:F62)/3</f>
        <v>-333.3333333333333</v>
      </c>
      <c r="G39" s="17">
        <f>SUM('Capital Investment'!$E$62:G62)/3</f>
        <v>-333.3333333333333</v>
      </c>
      <c r="H39" s="17">
        <f>SUM('Capital Investment'!$F$62:H62)/3</f>
        <v>-333.3333333333333</v>
      </c>
      <c r="I39" s="17">
        <f>SUM('Capital Investment'!$G$62:I62)/3</f>
        <v>-333.3333333333333</v>
      </c>
      <c r="J39" s="17">
        <f>SUM('Capital Investment'!$H$62:J62)/3</f>
        <v>-333.3333333333333</v>
      </c>
      <c r="K39" s="17">
        <f>SUM('Capital Investment'!$I$62:K62)/3</f>
        <v>-333.3333333333333</v>
      </c>
      <c r="L39" s="17">
        <f>SUM('Capital Investment'!$J$62:L62)/3</f>
        <v>-333.3333333333333</v>
      </c>
      <c r="M39" s="17">
        <f>SUM('Capital Investment'!$K$62:M62)/3</f>
        <v>-333.3333333333333</v>
      </c>
      <c r="N39" s="17">
        <f>SUM('Capital Investment'!$L$62:N62)/3</f>
        <v>-333.3333333333333</v>
      </c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13" t="s">
        <v>30</v>
      </c>
      <c r="B42" s="13"/>
      <c r="E42" s="17">
        <f>SUM(E32:E39)</f>
        <v>1246.6666666666667</v>
      </c>
      <c r="F42" s="17">
        <f>SUM(F32:F39)</f>
        <v>1246.6666666666667</v>
      </c>
      <c r="G42" s="17">
        <f aca="true" t="shared" si="6" ref="G42:N42">SUM(G32:G39)</f>
        <v>1246.6666666666667</v>
      </c>
      <c r="H42" s="17">
        <f t="shared" si="6"/>
        <v>1246.6666666666667</v>
      </c>
      <c r="I42" s="17">
        <f t="shared" si="6"/>
        <v>1246.6666666666667</v>
      </c>
      <c r="J42" s="17">
        <f t="shared" si="6"/>
        <v>1246.6666666666667</v>
      </c>
      <c r="K42" s="17">
        <f t="shared" si="6"/>
        <v>1246.6666666666667</v>
      </c>
      <c r="L42" s="17">
        <f t="shared" si="6"/>
        <v>1246.6666666666667</v>
      </c>
      <c r="M42" s="17">
        <f t="shared" si="6"/>
        <v>1246.6666666666667</v>
      </c>
      <c r="N42" s="17">
        <f t="shared" si="6"/>
        <v>1246.6666666666667</v>
      </c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ebmpapst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Mason</dc:creator>
  <cp:keywords/>
  <dc:description/>
  <cp:lastModifiedBy>Mason</cp:lastModifiedBy>
  <cp:lastPrinted>2007-05-27T17:21:03Z</cp:lastPrinted>
  <dcterms:created xsi:type="dcterms:W3CDTF">2006-04-05T09:48:50Z</dcterms:created>
  <dcterms:modified xsi:type="dcterms:W3CDTF">2007-05-28T14:20:26Z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